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tbrannan\My Drive\.001 CLC Car Life Cycle\"/>
    </mc:Choice>
  </mc:AlternateContent>
  <xr:revisionPtr revIDLastSave="0" documentId="13_ncr:1_{B5680E70-A5F2-48D9-A4EE-F975276F9F9E}" xr6:coauthVersionLast="47" xr6:coauthVersionMax="47" xr10:uidLastSave="{00000000-0000-0000-0000-000000000000}"/>
  <bookViews>
    <workbookView xWindow="-120" yWindow="-120" windowWidth="29040" windowHeight="15720" tabRatio="500" xr2:uid="{00000000-000D-0000-FFFF-FFFF00000000}"/>
  </bookViews>
  <sheets>
    <sheet name="Inputs" sheetId="1" r:id="rId1"/>
    <sheet name="Projection" sheetId="2" r:id="rId2"/>
    <sheet name="Notes" sheetId="3" r:id="rId3"/>
    <sheet name="Scenarios" sheetId="4" r:id="rId4"/>
  </sheets>
  <definedNames>
    <definedName name="ChartAge">OFFSET(Projection!$B$3,0,0,Inputs!$B$3,1)</definedName>
    <definedName name="ChartBalance">OFFSET(Projection!$I$3,0,0,Inputs!$B$3,1)</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A407" i="4" l="1"/>
  <c r="B407" i="4" s="1"/>
  <c r="A406" i="4"/>
  <c r="A405" i="4"/>
  <c r="A404" i="4"/>
  <c r="D404" i="4" s="1"/>
  <c r="A403" i="4"/>
  <c r="C403" i="4" s="1"/>
  <c r="A402" i="4"/>
  <c r="B402" i="4" s="1"/>
  <c r="A401" i="4"/>
  <c r="C401" i="4" s="1"/>
  <c r="A400" i="4"/>
  <c r="B400" i="4" s="1"/>
  <c r="A399" i="4"/>
  <c r="B399" i="4" s="1"/>
  <c r="A398" i="4"/>
  <c r="A397" i="4"/>
  <c r="E397" i="4" s="1"/>
  <c r="A396" i="4"/>
  <c r="A395" i="4"/>
  <c r="C395" i="4" s="1"/>
  <c r="A394" i="4"/>
  <c r="B394" i="4" s="1"/>
  <c r="A393" i="4"/>
  <c r="C393" i="4" s="1"/>
  <c r="A392" i="4"/>
  <c r="B392" i="4" s="1"/>
  <c r="A391" i="4"/>
  <c r="B391" i="4" s="1"/>
  <c r="A390" i="4"/>
  <c r="A389" i="4"/>
  <c r="E389" i="4" s="1"/>
  <c r="A388" i="4"/>
  <c r="E388" i="4" s="1"/>
  <c r="A387" i="4"/>
  <c r="C387" i="4" s="1"/>
  <c r="A386" i="4"/>
  <c r="E386" i="4" s="1"/>
  <c r="A385" i="4"/>
  <c r="E385" i="4" s="1"/>
  <c r="A384" i="4"/>
  <c r="C384" i="4" s="1"/>
  <c r="A383" i="4"/>
  <c r="A382" i="4"/>
  <c r="A381" i="4"/>
  <c r="A380" i="4"/>
  <c r="E380" i="4" s="1"/>
  <c r="A379" i="4"/>
  <c r="A378" i="4"/>
  <c r="E378" i="4" s="1"/>
  <c r="A377" i="4"/>
  <c r="E377" i="4" s="1"/>
  <c r="A376" i="4"/>
  <c r="C376" i="4" s="1"/>
  <c r="A375" i="4"/>
  <c r="A374" i="4"/>
  <c r="A373" i="4"/>
  <c r="A372" i="4"/>
  <c r="E372" i="4" s="1"/>
  <c r="A371" i="4"/>
  <c r="C371" i="4" s="1"/>
  <c r="A370" i="4"/>
  <c r="C370" i="4" s="1"/>
  <c r="A369" i="4"/>
  <c r="A368" i="4"/>
  <c r="C368" i="4" s="1"/>
  <c r="A367" i="4"/>
  <c r="A366" i="4"/>
  <c r="A365" i="4"/>
  <c r="A364" i="4"/>
  <c r="E364" i="4" s="1"/>
  <c r="A363" i="4"/>
  <c r="C363" i="4" s="1"/>
  <c r="A362" i="4"/>
  <c r="E362" i="4" s="1"/>
  <c r="A361" i="4"/>
  <c r="C361" i="4" s="1"/>
  <c r="A360" i="4"/>
  <c r="C360" i="4" s="1"/>
  <c r="A359" i="4"/>
  <c r="A358" i="4"/>
  <c r="A357" i="4"/>
  <c r="A356" i="4"/>
  <c r="E356" i="4" s="1"/>
  <c r="A355" i="4"/>
  <c r="A354" i="4"/>
  <c r="C354" i="4" s="1"/>
  <c r="A353" i="4"/>
  <c r="E353" i="4" s="1"/>
  <c r="A352" i="4"/>
  <c r="C352" i="4" s="1"/>
  <c r="A351" i="4"/>
  <c r="A350" i="4"/>
  <c r="A349" i="4"/>
  <c r="A348" i="4"/>
  <c r="E348" i="4" s="1"/>
  <c r="A347" i="4"/>
  <c r="C347" i="4" s="1"/>
  <c r="A346" i="4"/>
  <c r="C346" i="4" s="1"/>
  <c r="A345" i="4"/>
  <c r="C345" i="4" s="1"/>
  <c r="A344" i="4"/>
  <c r="C344" i="4" s="1"/>
  <c r="A343" i="4"/>
  <c r="A342" i="4"/>
  <c r="A341" i="4"/>
  <c r="A340" i="4"/>
  <c r="E340" i="4" s="1"/>
  <c r="A339" i="4"/>
  <c r="C339" i="4" s="1"/>
  <c r="A338" i="4"/>
  <c r="A337" i="4"/>
  <c r="E337" i="4" s="1"/>
  <c r="A336" i="4"/>
  <c r="A335" i="4"/>
  <c r="E335" i="4" s="1"/>
  <c r="A334" i="4"/>
  <c r="C334" i="4" s="1"/>
  <c r="A333" i="4"/>
  <c r="C333" i="4" s="1"/>
  <c r="A332" i="4"/>
  <c r="E332" i="4" s="1"/>
  <c r="A331" i="4"/>
  <c r="A330" i="4"/>
  <c r="A329" i="4"/>
  <c r="C329" i="4" s="1"/>
  <c r="A328" i="4"/>
  <c r="E328" i="4" s="1"/>
  <c r="A327" i="4"/>
  <c r="E327" i="4" s="1"/>
  <c r="A326" i="4"/>
  <c r="C326" i="4" s="1"/>
  <c r="A325" i="4"/>
  <c r="A324" i="4"/>
  <c r="A323" i="4"/>
  <c r="E323" i="4" s="1"/>
  <c r="A322" i="4"/>
  <c r="E322" i="4" s="1"/>
  <c r="A321" i="4"/>
  <c r="C321" i="4" s="1"/>
  <c r="A320" i="4"/>
  <c r="A319" i="4"/>
  <c r="A318" i="4"/>
  <c r="C318" i="4" s="1"/>
  <c r="A317" i="4"/>
  <c r="C317" i="4" s="1"/>
  <c r="A316" i="4"/>
  <c r="E316" i="4" s="1"/>
  <c r="A315" i="4"/>
  <c r="A314" i="4"/>
  <c r="C314" i="4" s="1"/>
  <c r="A313" i="4"/>
  <c r="C313" i="4" s="1"/>
  <c r="A312" i="4"/>
  <c r="A311" i="4"/>
  <c r="E311" i="4" s="1"/>
  <c r="A310" i="4"/>
  <c r="C310" i="4" s="1"/>
  <c r="A309" i="4"/>
  <c r="A308" i="4"/>
  <c r="A306" i="4"/>
  <c r="A305" i="4"/>
  <c r="B305" i="4" s="1"/>
  <c r="A304" i="4"/>
  <c r="B304" i="4" s="1"/>
  <c r="A303" i="4"/>
  <c r="G303" i="4" s="1"/>
  <c r="A302" i="4"/>
  <c r="E302" i="4" s="1"/>
  <c r="A301" i="4"/>
  <c r="C301" i="4" s="1"/>
  <c r="A300" i="4"/>
  <c r="G300" i="4" s="1"/>
  <c r="A299" i="4"/>
  <c r="E299" i="4" s="1"/>
  <c r="A298" i="4"/>
  <c r="G298" i="4" s="1"/>
  <c r="G297" i="4"/>
  <c r="A297" i="4"/>
  <c r="B297" i="4" s="1"/>
  <c r="A296" i="4"/>
  <c r="D296" i="4" s="1"/>
  <c r="A295" i="4"/>
  <c r="A294" i="4"/>
  <c r="G294" i="4" s="1"/>
  <c r="A293" i="4"/>
  <c r="F293" i="4" s="1"/>
  <c r="A292" i="4"/>
  <c r="A291" i="4"/>
  <c r="B291" i="4" s="1"/>
  <c r="A290" i="4"/>
  <c r="B290" i="4" s="1"/>
  <c r="A289" i="4"/>
  <c r="B289" i="4" s="1"/>
  <c r="A288" i="4"/>
  <c r="E288" i="4" s="1"/>
  <c r="A287" i="4"/>
  <c r="A286" i="4"/>
  <c r="C286" i="4" s="1"/>
  <c r="A285" i="4"/>
  <c r="E285" i="4" s="1"/>
  <c r="A284" i="4"/>
  <c r="A283" i="4"/>
  <c r="C283" i="4" s="1"/>
  <c r="A282" i="4"/>
  <c r="E282" i="4" s="1"/>
  <c r="A281" i="4"/>
  <c r="A280" i="4"/>
  <c r="E280" i="4" s="1"/>
  <c r="A279" i="4"/>
  <c r="A278" i="4"/>
  <c r="C278" i="4" s="1"/>
  <c r="A277" i="4"/>
  <c r="E277" i="4" s="1"/>
  <c r="A276" i="4"/>
  <c r="A275" i="4"/>
  <c r="A274" i="4"/>
  <c r="E274" i="4" s="1"/>
  <c r="A273" i="4"/>
  <c r="A272" i="4"/>
  <c r="C272" i="4" s="1"/>
  <c r="A271" i="4"/>
  <c r="A270" i="4"/>
  <c r="A269" i="4"/>
  <c r="E269" i="4" s="1"/>
  <c r="A268" i="4"/>
  <c r="A267" i="4"/>
  <c r="C267" i="4" s="1"/>
  <c r="A266" i="4"/>
  <c r="C266" i="4" s="1"/>
  <c r="A265" i="4"/>
  <c r="A264" i="4"/>
  <c r="E264" i="4" s="1"/>
  <c r="A263" i="4"/>
  <c r="A262" i="4"/>
  <c r="C262" i="4" s="1"/>
  <c r="A261" i="4"/>
  <c r="E261" i="4" s="1"/>
  <c r="A260" i="4"/>
  <c r="E259" i="4"/>
  <c r="A259" i="4"/>
  <c r="C259" i="4" s="1"/>
  <c r="A258" i="4"/>
  <c r="C258" i="4" s="1"/>
  <c r="A257" i="4"/>
  <c r="A256" i="4"/>
  <c r="E256" i="4" s="1"/>
  <c r="A255" i="4"/>
  <c r="A254" i="4"/>
  <c r="A253" i="4"/>
  <c r="E253" i="4" s="1"/>
  <c r="A252" i="4"/>
  <c r="A251" i="4"/>
  <c r="E251" i="4" s="1"/>
  <c r="A250" i="4"/>
  <c r="C250" i="4" s="1"/>
  <c r="A249" i="4"/>
  <c r="E249" i="4" s="1"/>
  <c r="A248" i="4"/>
  <c r="A247" i="4"/>
  <c r="C247" i="4" s="1"/>
  <c r="A246" i="4"/>
  <c r="C246" i="4" s="1"/>
  <c r="A245" i="4"/>
  <c r="A244" i="4"/>
  <c r="E244" i="4" s="1"/>
  <c r="A243" i="4"/>
  <c r="A242" i="4"/>
  <c r="E242" i="4" s="1"/>
  <c r="A241" i="4"/>
  <c r="A240" i="4"/>
  <c r="A239" i="4"/>
  <c r="A238" i="4"/>
  <c r="A237" i="4"/>
  <c r="C237" i="4" s="1"/>
  <c r="A236" i="4"/>
  <c r="C236" i="4" s="1"/>
  <c r="A235" i="4"/>
  <c r="A234" i="4"/>
  <c r="C234" i="4" s="1"/>
  <c r="A233" i="4"/>
  <c r="E233" i="4" s="1"/>
  <c r="A232" i="4"/>
  <c r="A231" i="4"/>
  <c r="A230" i="4"/>
  <c r="E230" i="4" s="1"/>
  <c r="A229" i="4"/>
  <c r="E229" i="4" s="1"/>
  <c r="A228" i="4"/>
  <c r="A227" i="4"/>
  <c r="A226" i="4"/>
  <c r="A225" i="4"/>
  <c r="E225" i="4" s="1"/>
  <c r="A224" i="4"/>
  <c r="E224" i="4" s="1"/>
  <c r="A223" i="4"/>
  <c r="E223" i="4" s="1"/>
  <c r="A222" i="4"/>
  <c r="A221" i="4"/>
  <c r="C221" i="4" s="1"/>
  <c r="A220" i="4"/>
  <c r="E220" i="4" s="1"/>
  <c r="A219" i="4"/>
  <c r="A218" i="4"/>
  <c r="C218" i="4" s="1"/>
  <c r="A217" i="4"/>
  <c r="E217" i="4" s="1"/>
  <c r="A216" i="4"/>
  <c r="A215" i="4"/>
  <c r="E215" i="4" s="1"/>
  <c r="A214" i="4"/>
  <c r="A213" i="4"/>
  <c r="A212" i="4"/>
  <c r="E212" i="4" s="1"/>
  <c r="A211" i="4"/>
  <c r="A210" i="4"/>
  <c r="A209" i="4"/>
  <c r="E209" i="4" s="1"/>
  <c r="A208" i="4"/>
  <c r="A207" i="4"/>
  <c r="A205" i="4"/>
  <c r="B205" i="4" s="1"/>
  <c r="A204" i="4"/>
  <c r="G204" i="4" s="1"/>
  <c r="A203" i="4"/>
  <c r="F203" i="4" s="1"/>
  <c r="A202" i="4"/>
  <c r="D202" i="4" s="1"/>
  <c r="D201" i="4"/>
  <c r="A201" i="4"/>
  <c r="G201" i="4" s="1"/>
  <c r="A200" i="4"/>
  <c r="E200" i="4" s="1"/>
  <c r="A199" i="4"/>
  <c r="G199" i="4" s="1"/>
  <c r="A198" i="4"/>
  <c r="D198" i="4" s="1"/>
  <c r="A197" i="4"/>
  <c r="A196" i="4"/>
  <c r="A195" i="4"/>
  <c r="E195" i="4" s="1"/>
  <c r="A194" i="4"/>
  <c r="D194" i="4" s="1"/>
  <c r="A193" i="4"/>
  <c r="A192" i="4"/>
  <c r="E192" i="4" s="1"/>
  <c r="A191" i="4"/>
  <c r="G191" i="4" s="1"/>
  <c r="A190" i="4"/>
  <c r="A189" i="4"/>
  <c r="B189" i="4" s="1"/>
  <c r="A188" i="4"/>
  <c r="F188" i="4" s="1"/>
  <c r="A187" i="4"/>
  <c r="A186" i="4"/>
  <c r="A185" i="4"/>
  <c r="A184" i="4"/>
  <c r="E184" i="4" s="1"/>
  <c r="A183" i="4"/>
  <c r="C183" i="4" s="1"/>
  <c r="A182" i="4"/>
  <c r="E182" i="4" s="1"/>
  <c r="A181" i="4"/>
  <c r="C181" i="4" s="1"/>
  <c r="A180" i="4"/>
  <c r="A179" i="4"/>
  <c r="A178" i="4"/>
  <c r="E178" i="4" s="1"/>
  <c r="A177" i="4"/>
  <c r="E177" i="4" s="1"/>
  <c r="A176" i="4"/>
  <c r="A175" i="4"/>
  <c r="C175" i="4" s="1"/>
  <c r="A174" i="4"/>
  <c r="A173" i="4"/>
  <c r="C173" i="4" s="1"/>
  <c r="A172" i="4"/>
  <c r="E172" i="4" s="1"/>
  <c r="A171" i="4"/>
  <c r="A170" i="4"/>
  <c r="A169" i="4"/>
  <c r="E169" i="4" s="1"/>
  <c r="A168" i="4"/>
  <c r="E168" i="4" s="1"/>
  <c r="A167" i="4"/>
  <c r="A166" i="4"/>
  <c r="A165" i="4"/>
  <c r="C165" i="4" s="1"/>
  <c r="E164" i="4"/>
  <c r="A164" i="4"/>
  <c r="C164" i="4" s="1"/>
  <c r="A163" i="4"/>
  <c r="A162" i="4"/>
  <c r="A161" i="4"/>
  <c r="E161" i="4" s="1"/>
  <c r="A160" i="4"/>
  <c r="E160" i="4" s="1"/>
  <c r="A159" i="4"/>
  <c r="C159" i="4" s="1"/>
  <c r="A158" i="4"/>
  <c r="A157" i="4"/>
  <c r="A156" i="4"/>
  <c r="C156" i="4" s="1"/>
  <c r="A155" i="4"/>
  <c r="E155" i="4" s="1"/>
  <c r="A154" i="4"/>
  <c r="E154" i="4" s="1"/>
  <c r="A153" i="4"/>
  <c r="A152" i="4"/>
  <c r="C152" i="4" s="1"/>
  <c r="A151" i="4"/>
  <c r="C151" i="4" s="1"/>
  <c r="A150" i="4"/>
  <c r="A149" i="4"/>
  <c r="A148" i="4"/>
  <c r="E148" i="4" s="1"/>
  <c r="A147" i="4"/>
  <c r="E147" i="4" s="1"/>
  <c r="A146" i="4"/>
  <c r="E146" i="4" s="1"/>
  <c r="A145" i="4"/>
  <c r="C145" i="4" s="1"/>
  <c r="A144" i="4"/>
  <c r="C144" i="4" s="1"/>
  <c r="A143" i="4"/>
  <c r="E143" i="4" s="1"/>
  <c r="A142" i="4"/>
  <c r="A141" i="4"/>
  <c r="A140" i="4"/>
  <c r="E140" i="4" s="1"/>
  <c r="A139" i="4"/>
  <c r="E139" i="4" s="1"/>
  <c r="A138" i="4"/>
  <c r="E138" i="4" s="1"/>
  <c r="A137" i="4"/>
  <c r="C137" i="4" s="1"/>
  <c r="A136" i="4"/>
  <c r="C136" i="4" s="1"/>
  <c r="A135" i="4"/>
  <c r="A134" i="4"/>
  <c r="A133" i="4"/>
  <c r="A132" i="4"/>
  <c r="A131" i="4"/>
  <c r="E131" i="4" s="1"/>
  <c r="A130" i="4"/>
  <c r="E130" i="4" s="1"/>
  <c r="A129" i="4"/>
  <c r="E129" i="4" s="1"/>
  <c r="A128" i="4"/>
  <c r="C128" i="4" s="1"/>
  <c r="A127" i="4"/>
  <c r="C127" i="4" s="1"/>
  <c r="A126" i="4"/>
  <c r="A125" i="4"/>
  <c r="A124" i="4"/>
  <c r="A123" i="4"/>
  <c r="E123" i="4" s="1"/>
  <c r="A122" i="4"/>
  <c r="E122" i="4" s="1"/>
  <c r="A121" i="4"/>
  <c r="E121" i="4" s="1"/>
  <c r="A120" i="4"/>
  <c r="C120" i="4" s="1"/>
  <c r="E119" i="4"/>
  <c r="A119" i="4"/>
  <c r="C119" i="4" s="1"/>
  <c r="A118" i="4"/>
  <c r="A117" i="4"/>
  <c r="A116" i="4"/>
  <c r="A115" i="4"/>
  <c r="E115" i="4" s="1"/>
  <c r="A114" i="4"/>
  <c r="A113" i="4"/>
  <c r="E113" i="4" s="1"/>
  <c r="A112" i="4"/>
  <c r="C112" i="4" s="1"/>
  <c r="A111" i="4"/>
  <c r="E111" i="4" s="1"/>
  <c r="A110" i="4"/>
  <c r="A109" i="4"/>
  <c r="A108" i="4"/>
  <c r="E108" i="4" s="1"/>
  <c r="A107" i="4"/>
  <c r="E107" i="4" s="1"/>
  <c r="A106" i="4"/>
  <c r="D13" i="4"/>
  <c r="C13" i="4"/>
  <c r="B13" i="4"/>
  <c r="D12" i="4"/>
  <c r="C12" i="4"/>
  <c r="B12" i="4"/>
  <c r="D11" i="4"/>
  <c r="C11" i="4"/>
  <c r="B11" i="4"/>
  <c r="D10" i="4"/>
  <c r="C10" i="4"/>
  <c r="B10" i="4"/>
  <c r="D9" i="4"/>
  <c r="C9" i="4"/>
  <c r="B9" i="4"/>
  <c r="D8" i="4"/>
  <c r="C8" i="4"/>
  <c r="B8" i="4"/>
  <c r="D7" i="4"/>
  <c r="C7" i="4"/>
  <c r="B7" i="4"/>
  <c r="D6" i="4"/>
  <c r="C6" i="4"/>
  <c r="B6" i="4"/>
  <c r="A407" i="2"/>
  <c r="A406" i="2"/>
  <c r="G406" i="2" s="1"/>
  <c r="A405" i="2"/>
  <c r="G405" i="2" s="1"/>
  <c r="A404" i="2"/>
  <c r="G404" i="2" s="1"/>
  <c r="A403" i="2"/>
  <c r="G403" i="2" s="1"/>
  <c r="A402" i="2"/>
  <c r="G402" i="2" s="1"/>
  <c r="A401" i="2"/>
  <c r="C401" i="2" s="1"/>
  <c r="A400" i="2"/>
  <c r="A399" i="2"/>
  <c r="F399" i="2" s="1"/>
  <c r="A398" i="2"/>
  <c r="A397" i="2"/>
  <c r="A396" i="2"/>
  <c r="A395" i="2"/>
  <c r="G395" i="2" s="1"/>
  <c r="A394" i="2"/>
  <c r="E394" i="2" s="1"/>
  <c r="A393" i="2"/>
  <c r="C393" i="2" s="1"/>
  <c r="A392" i="2"/>
  <c r="G392" i="2" s="1"/>
  <c r="A391" i="2"/>
  <c r="G391" i="2" s="1"/>
  <c r="A390" i="2"/>
  <c r="A389" i="2"/>
  <c r="A388" i="2"/>
  <c r="A387" i="2"/>
  <c r="A386" i="2"/>
  <c r="A385" i="2"/>
  <c r="C385" i="2" s="1"/>
  <c r="A384" i="2"/>
  <c r="A383" i="2"/>
  <c r="A382" i="2"/>
  <c r="E382" i="2" s="1"/>
  <c r="A381" i="2"/>
  <c r="A380" i="2"/>
  <c r="A379" i="2"/>
  <c r="A378" i="2"/>
  <c r="A377" i="2"/>
  <c r="A376" i="2"/>
  <c r="E376" i="2" s="1"/>
  <c r="A375" i="2"/>
  <c r="A374" i="2"/>
  <c r="A373" i="2"/>
  <c r="A372" i="2"/>
  <c r="A371" i="2"/>
  <c r="A370" i="2"/>
  <c r="A369" i="2"/>
  <c r="A368" i="2"/>
  <c r="C368" i="2" s="1"/>
  <c r="A367" i="2"/>
  <c r="E367" i="2" s="1"/>
  <c r="A366" i="2"/>
  <c r="E366" i="2" s="1"/>
  <c r="A365" i="2"/>
  <c r="A364" i="2"/>
  <c r="A363" i="2"/>
  <c r="C362" i="2"/>
  <c r="A362" i="2"/>
  <c r="E362" i="2" s="1"/>
  <c r="A361" i="2"/>
  <c r="C361" i="2" s="1"/>
  <c r="A360" i="2"/>
  <c r="E360" i="2" s="1"/>
  <c r="A359" i="2"/>
  <c r="E359" i="2" s="1"/>
  <c r="A358" i="2"/>
  <c r="C358" i="2" s="1"/>
  <c r="A357" i="2"/>
  <c r="A356" i="2"/>
  <c r="E356" i="2" s="1"/>
  <c r="A355" i="2"/>
  <c r="A354" i="2"/>
  <c r="A353" i="2"/>
  <c r="C353" i="2" s="1"/>
  <c r="A352" i="2"/>
  <c r="C352" i="2" s="1"/>
  <c r="A351" i="2"/>
  <c r="E351" i="2" s="1"/>
  <c r="A350" i="2"/>
  <c r="E350" i="2" s="1"/>
  <c r="A349" i="2"/>
  <c r="A348" i="2"/>
  <c r="A347" i="2"/>
  <c r="A346" i="2"/>
  <c r="A345" i="2"/>
  <c r="A344" i="2"/>
  <c r="A343" i="2"/>
  <c r="E343" i="2" s="1"/>
  <c r="A342" i="2"/>
  <c r="E342" i="2" s="1"/>
  <c r="A341" i="2"/>
  <c r="A340" i="2"/>
  <c r="A339" i="2"/>
  <c r="E339" i="2" s="1"/>
  <c r="A338" i="2"/>
  <c r="A337" i="2"/>
  <c r="A336" i="2"/>
  <c r="A335" i="2"/>
  <c r="C335" i="2" s="1"/>
  <c r="A334" i="2"/>
  <c r="E334" i="2" s="1"/>
  <c r="A333" i="2"/>
  <c r="C333" i="2" s="1"/>
  <c r="A332" i="2"/>
  <c r="A331" i="2"/>
  <c r="A330" i="2"/>
  <c r="A329" i="2"/>
  <c r="C329" i="2" s="1"/>
  <c r="A328" i="2"/>
  <c r="A327" i="2"/>
  <c r="C327" i="2" s="1"/>
  <c r="A326" i="2"/>
  <c r="A325" i="2"/>
  <c r="E325" i="2" s="1"/>
  <c r="A324" i="2"/>
  <c r="E324" i="2" s="1"/>
  <c r="A323" i="2"/>
  <c r="A322" i="2"/>
  <c r="A321" i="2"/>
  <c r="C321" i="2" s="1"/>
  <c r="A320" i="2"/>
  <c r="E320" i="2" s="1"/>
  <c r="A319" i="2"/>
  <c r="E319" i="2" s="1"/>
  <c r="A318" i="2"/>
  <c r="C318" i="2" s="1"/>
  <c r="A317" i="2"/>
  <c r="A316" i="2"/>
  <c r="E316" i="2" s="1"/>
  <c r="A315" i="2"/>
  <c r="A314" i="2"/>
  <c r="A313" i="2"/>
  <c r="A312" i="2"/>
  <c r="A311" i="2"/>
  <c r="A310" i="2"/>
  <c r="E310" i="2" s="1"/>
  <c r="A309" i="2"/>
  <c r="A308" i="2"/>
  <c r="A306" i="2"/>
  <c r="A305" i="2"/>
  <c r="C305" i="2" s="1"/>
  <c r="A304" i="2"/>
  <c r="E304" i="2" s="1"/>
  <c r="A303" i="2"/>
  <c r="A302" i="2"/>
  <c r="D302" i="2" s="1"/>
  <c r="A301" i="2"/>
  <c r="D301" i="2" s="1"/>
  <c r="A300" i="2"/>
  <c r="A299" i="2"/>
  <c r="C299" i="2" s="1"/>
  <c r="A298" i="2"/>
  <c r="B298" i="2" s="1"/>
  <c r="A297" i="2"/>
  <c r="D297" i="2" s="1"/>
  <c r="A296" i="2"/>
  <c r="C296" i="2" s="1"/>
  <c r="A295" i="2"/>
  <c r="D295" i="2" s="1"/>
  <c r="A294" i="2"/>
  <c r="F294" i="2" s="1"/>
  <c r="A293" i="2"/>
  <c r="G293" i="2" s="1"/>
  <c r="A292" i="2"/>
  <c r="E292" i="2" s="1"/>
  <c r="A291" i="2"/>
  <c r="A290" i="2"/>
  <c r="A289" i="2"/>
  <c r="A288" i="2"/>
  <c r="C288" i="2" s="1"/>
  <c r="A287" i="2"/>
  <c r="E287" i="2" s="1"/>
  <c r="A286" i="2"/>
  <c r="A285" i="2"/>
  <c r="C285" i="2" s="1"/>
  <c r="A284" i="2"/>
  <c r="C284" i="2" s="1"/>
  <c r="A283" i="2"/>
  <c r="E283" i="2" s="1"/>
  <c r="A282" i="2"/>
  <c r="E282" i="2" s="1"/>
  <c r="A281" i="2"/>
  <c r="E281" i="2" s="1"/>
  <c r="A280" i="2"/>
  <c r="A279" i="2"/>
  <c r="A278" i="2"/>
  <c r="E278" i="2" s="1"/>
  <c r="A277" i="2"/>
  <c r="E277" i="2" s="1"/>
  <c r="A276" i="2"/>
  <c r="A275" i="2"/>
  <c r="C275" i="2" s="1"/>
  <c r="A274" i="2"/>
  <c r="A273" i="2"/>
  <c r="A272" i="2"/>
  <c r="A271" i="2"/>
  <c r="C271" i="2" s="1"/>
  <c r="A270" i="2"/>
  <c r="C270" i="2" s="1"/>
  <c r="A269" i="2"/>
  <c r="A268" i="2"/>
  <c r="A267" i="2"/>
  <c r="E267" i="2" s="1"/>
  <c r="A266" i="2"/>
  <c r="C266" i="2" s="1"/>
  <c r="A265" i="2"/>
  <c r="A264" i="2"/>
  <c r="A263" i="2"/>
  <c r="C263" i="2" s="1"/>
  <c r="A262" i="2"/>
  <c r="E262" i="2" s="1"/>
  <c r="A261" i="2"/>
  <c r="A260" i="2"/>
  <c r="E260" i="2" s="1"/>
  <c r="A259" i="2"/>
  <c r="E259" i="2" s="1"/>
  <c r="A258" i="2"/>
  <c r="A257" i="2"/>
  <c r="A256" i="2"/>
  <c r="A255" i="2"/>
  <c r="E255" i="2" s="1"/>
  <c r="A254" i="2"/>
  <c r="C254" i="2" s="1"/>
  <c r="A253" i="2"/>
  <c r="A252" i="2"/>
  <c r="A251" i="2"/>
  <c r="C251" i="2" s="1"/>
  <c r="A250" i="2"/>
  <c r="A249" i="2"/>
  <c r="A248" i="2"/>
  <c r="E248" i="2" s="1"/>
  <c r="A247" i="2"/>
  <c r="A246" i="2"/>
  <c r="C246" i="2" s="1"/>
  <c r="A245" i="2"/>
  <c r="E245" i="2" s="1"/>
  <c r="A244" i="2"/>
  <c r="E244" i="2" s="1"/>
  <c r="A243" i="2"/>
  <c r="C243" i="2" s="1"/>
  <c r="A242" i="2"/>
  <c r="C242" i="2" s="1"/>
  <c r="A241" i="2"/>
  <c r="A240" i="2"/>
  <c r="A239" i="2"/>
  <c r="E239" i="2" s="1"/>
  <c r="A238" i="2"/>
  <c r="E238" i="2" s="1"/>
  <c r="A237" i="2"/>
  <c r="C237" i="2" s="1"/>
  <c r="A236" i="2"/>
  <c r="A235" i="2"/>
  <c r="C235" i="2" s="1"/>
  <c r="C234" i="2"/>
  <c r="A234" i="2"/>
  <c r="E234" i="2" s="1"/>
  <c r="A233" i="2"/>
  <c r="C233" i="2" s="1"/>
  <c r="A232" i="2"/>
  <c r="C232" i="2" s="1"/>
  <c r="A231" i="2"/>
  <c r="C231" i="2" s="1"/>
  <c r="A230" i="2"/>
  <c r="E230" i="2" s="1"/>
  <c r="E229" i="2"/>
  <c r="A229" i="2"/>
  <c r="C229" i="2" s="1"/>
  <c r="A228" i="2"/>
  <c r="A227" i="2"/>
  <c r="A226" i="2"/>
  <c r="E226" i="2" s="1"/>
  <c r="A225" i="2"/>
  <c r="E225" i="2" s="1"/>
  <c r="A224" i="2"/>
  <c r="A223" i="2"/>
  <c r="E223" i="2" s="1"/>
  <c r="A222" i="2"/>
  <c r="E222" i="2" s="1"/>
  <c r="A221" i="2"/>
  <c r="A220" i="2"/>
  <c r="E220" i="2" s="1"/>
  <c r="A219" i="2"/>
  <c r="E219" i="2" s="1"/>
  <c r="A218" i="2"/>
  <c r="A217" i="2"/>
  <c r="E217" i="2" s="1"/>
  <c r="A216" i="2"/>
  <c r="C216" i="2" s="1"/>
  <c r="A215" i="2"/>
  <c r="A214" i="2"/>
  <c r="E214" i="2" s="1"/>
  <c r="A213" i="2"/>
  <c r="A212" i="2"/>
  <c r="E212" i="2" s="1"/>
  <c r="A211" i="2"/>
  <c r="E211" i="2" s="1"/>
  <c r="A210" i="2"/>
  <c r="C210" i="2" s="1"/>
  <c r="A209" i="2"/>
  <c r="E209" i="2" s="1"/>
  <c r="A208" i="2"/>
  <c r="C208" i="2" s="1"/>
  <c r="A207" i="2"/>
  <c r="E207" i="2" s="1"/>
  <c r="A205" i="2"/>
  <c r="E205" i="2" s="1"/>
  <c r="A204" i="2"/>
  <c r="A203" i="2"/>
  <c r="F203" i="2" s="1"/>
  <c r="A202" i="2"/>
  <c r="A201" i="2"/>
  <c r="A200" i="2"/>
  <c r="D199" i="2"/>
  <c r="A199" i="2"/>
  <c r="G199" i="2" s="1"/>
  <c r="D198" i="2"/>
  <c r="A198" i="2"/>
  <c r="E198" i="2" s="1"/>
  <c r="A197" i="2"/>
  <c r="B197" i="2" s="1"/>
  <c r="A196" i="2"/>
  <c r="F196" i="2" s="1"/>
  <c r="A195" i="2"/>
  <c r="G195" i="2" s="1"/>
  <c r="A194" i="2"/>
  <c r="F194" i="2" s="1"/>
  <c r="A193" i="2"/>
  <c r="A192" i="2"/>
  <c r="B192" i="2" s="1"/>
  <c r="A191" i="2"/>
  <c r="A190" i="2"/>
  <c r="A189" i="2"/>
  <c r="D189" i="2" s="1"/>
  <c r="A188" i="2"/>
  <c r="B188" i="2" s="1"/>
  <c r="A187" i="2"/>
  <c r="A186" i="2"/>
  <c r="C186" i="2" s="1"/>
  <c r="A185" i="2"/>
  <c r="A184" i="2"/>
  <c r="C184" i="2" s="1"/>
  <c r="A183" i="2"/>
  <c r="A182" i="2"/>
  <c r="A181" i="2"/>
  <c r="A180" i="2"/>
  <c r="A179" i="2"/>
  <c r="E179" i="2" s="1"/>
  <c r="A178" i="2"/>
  <c r="E178" i="2" s="1"/>
  <c r="A177" i="2"/>
  <c r="A176" i="2"/>
  <c r="C176" i="2" s="1"/>
  <c r="A175" i="2"/>
  <c r="C175" i="2" s="1"/>
  <c r="A174" i="2"/>
  <c r="A173" i="2"/>
  <c r="A172" i="2"/>
  <c r="E172" i="2" s="1"/>
  <c r="A171" i="2"/>
  <c r="E171" i="2" s="1"/>
  <c r="A170" i="2"/>
  <c r="E170" i="2" s="1"/>
  <c r="A169" i="2"/>
  <c r="E169" i="2" s="1"/>
  <c r="A168" i="2"/>
  <c r="C168" i="2" s="1"/>
  <c r="A167" i="2"/>
  <c r="C167" i="2" s="1"/>
  <c r="A166" i="2"/>
  <c r="A165" i="2"/>
  <c r="E165" i="2" s="1"/>
  <c r="A164" i="2"/>
  <c r="E164" i="2" s="1"/>
  <c r="A163" i="2"/>
  <c r="E163" i="2" s="1"/>
  <c r="A162" i="2"/>
  <c r="E162" i="2" s="1"/>
  <c r="A161" i="2"/>
  <c r="A160" i="2"/>
  <c r="C160" i="2" s="1"/>
  <c r="A159" i="2"/>
  <c r="A158" i="2"/>
  <c r="A157" i="2"/>
  <c r="A156" i="2"/>
  <c r="C156" i="2" s="1"/>
  <c r="A155" i="2"/>
  <c r="A154" i="2"/>
  <c r="E154" i="2" s="1"/>
  <c r="A153" i="2"/>
  <c r="A152" i="2"/>
  <c r="C152" i="2" s="1"/>
  <c r="A151" i="2"/>
  <c r="A150" i="2"/>
  <c r="A149" i="2"/>
  <c r="A148" i="2"/>
  <c r="E148" i="2" s="1"/>
  <c r="A147" i="2"/>
  <c r="E147" i="2" s="1"/>
  <c r="A146" i="2"/>
  <c r="E146" i="2" s="1"/>
  <c r="A145" i="2"/>
  <c r="C145" i="2" s="1"/>
  <c r="A144" i="2"/>
  <c r="C144" i="2" s="1"/>
  <c r="A143" i="2"/>
  <c r="A142" i="2"/>
  <c r="A141" i="2"/>
  <c r="A140" i="2"/>
  <c r="E140" i="2" s="1"/>
  <c r="A139" i="2"/>
  <c r="C139" i="2" s="1"/>
  <c r="A138" i="2"/>
  <c r="E138" i="2" s="1"/>
  <c r="A137" i="2"/>
  <c r="E137" i="2" s="1"/>
  <c r="A136" i="2"/>
  <c r="C136" i="2" s="1"/>
  <c r="A135" i="2"/>
  <c r="C135" i="2" s="1"/>
  <c r="A134" i="2"/>
  <c r="A133" i="2"/>
  <c r="E133" i="2" s="1"/>
  <c r="A132" i="2"/>
  <c r="E132" i="2" s="1"/>
  <c r="A131" i="2"/>
  <c r="E131" i="2" s="1"/>
  <c r="A130" i="2"/>
  <c r="E130" i="2" s="1"/>
  <c r="A129" i="2"/>
  <c r="A128" i="2"/>
  <c r="C128" i="2" s="1"/>
  <c r="A127" i="2"/>
  <c r="A126" i="2"/>
  <c r="A125" i="2"/>
  <c r="A124" i="2"/>
  <c r="E124" i="2" s="1"/>
  <c r="E123" i="2"/>
  <c r="A123" i="2"/>
  <c r="C123" i="2" s="1"/>
  <c r="A122" i="2"/>
  <c r="E122" i="2" s="1"/>
  <c r="A121" i="2"/>
  <c r="A120" i="2"/>
  <c r="C120" i="2" s="1"/>
  <c r="A119" i="2"/>
  <c r="A118" i="2"/>
  <c r="A117" i="2"/>
  <c r="A116" i="2"/>
  <c r="A115" i="2"/>
  <c r="E115" i="2" s="1"/>
  <c r="A114" i="2"/>
  <c r="E114" i="2" s="1"/>
  <c r="A113" i="2"/>
  <c r="A112" i="2"/>
  <c r="C112" i="2" s="1"/>
  <c r="A111" i="2"/>
  <c r="C111" i="2" s="1"/>
  <c r="A110" i="2"/>
  <c r="A109" i="2"/>
  <c r="A108" i="2"/>
  <c r="E108" i="2" s="1"/>
  <c r="A107" i="2"/>
  <c r="E107" i="2" s="1"/>
  <c r="E106" i="2"/>
  <c r="A106" i="2"/>
  <c r="B106" i="2" s="1"/>
  <c r="D106" i="2" s="1"/>
  <c r="M103" i="2"/>
  <c r="L103" i="2"/>
  <c r="A102" i="2"/>
  <c r="L102" i="2" s="1"/>
  <c r="A101" i="2"/>
  <c r="H101" i="2" s="1"/>
  <c r="A100" i="2"/>
  <c r="B100" i="2" s="1"/>
  <c r="A99" i="2"/>
  <c r="M99" i="2" s="1"/>
  <c r="K98" i="2"/>
  <c r="D98" i="2"/>
  <c r="A98" i="2"/>
  <c r="F98" i="2" s="1"/>
  <c r="A97" i="2"/>
  <c r="K97" i="2" s="1"/>
  <c r="A96" i="2"/>
  <c r="F96" i="2" s="1"/>
  <c r="A95" i="2"/>
  <c r="M95" i="2" s="1"/>
  <c r="A94" i="2"/>
  <c r="M94" i="2" s="1"/>
  <c r="A93" i="2"/>
  <c r="L93" i="2" s="1"/>
  <c r="A92" i="2"/>
  <c r="B92" i="2" s="1"/>
  <c r="A91" i="2"/>
  <c r="M91" i="2" s="1"/>
  <c r="A90" i="2"/>
  <c r="F90" i="2" s="1"/>
  <c r="E89" i="2"/>
  <c r="A89" i="2"/>
  <c r="K89" i="2" s="1"/>
  <c r="D88" i="2"/>
  <c r="A88" i="2"/>
  <c r="F88" i="2" s="1"/>
  <c r="A87" i="2"/>
  <c r="M87" i="2" s="1"/>
  <c r="A86" i="2"/>
  <c r="A85" i="2"/>
  <c r="G85" i="2" s="1"/>
  <c r="A84" i="2"/>
  <c r="A83" i="2"/>
  <c r="D83" i="2" s="1"/>
  <c r="E83" i="2" s="1"/>
  <c r="D82" i="2"/>
  <c r="B82" i="2"/>
  <c r="A82" i="2"/>
  <c r="A81" i="2"/>
  <c r="D81" i="2" s="1"/>
  <c r="E81" i="2" s="1"/>
  <c r="A80" i="2"/>
  <c r="G80" i="2" s="1"/>
  <c r="H80" i="2" s="1"/>
  <c r="A79" i="2"/>
  <c r="D79" i="2" s="1"/>
  <c r="E79" i="2" s="1"/>
  <c r="A78" i="2"/>
  <c r="H78" i="2" s="1"/>
  <c r="A77" i="2"/>
  <c r="G77" i="2" s="1"/>
  <c r="A76" i="2"/>
  <c r="L76" i="2" s="1"/>
  <c r="A75" i="2"/>
  <c r="A74" i="2"/>
  <c r="H74" i="2" s="1"/>
  <c r="A73" i="2"/>
  <c r="G73" i="2" s="1"/>
  <c r="H73" i="2" s="1"/>
  <c r="A72" i="2"/>
  <c r="A71" i="2"/>
  <c r="D71" i="2" s="1"/>
  <c r="A70" i="2"/>
  <c r="B70" i="2" s="1"/>
  <c r="L70" i="2" s="1"/>
  <c r="A69" i="2"/>
  <c r="H69" i="2" s="1"/>
  <c r="A68" i="2"/>
  <c r="L68" i="2" s="1"/>
  <c r="A67" i="2"/>
  <c r="E67" i="2" s="1"/>
  <c r="A66" i="2"/>
  <c r="G66" i="2" s="1"/>
  <c r="H66" i="2" s="1"/>
  <c r="A65" i="2"/>
  <c r="A64" i="2"/>
  <c r="H64" i="2" s="1"/>
  <c r="A63" i="2"/>
  <c r="A62" i="2"/>
  <c r="D62" i="2" s="1"/>
  <c r="A61" i="2"/>
  <c r="D61" i="2" s="1"/>
  <c r="A60" i="2"/>
  <c r="A59" i="2"/>
  <c r="A58" i="2"/>
  <c r="L58" i="2" s="1"/>
  <c r="A57" i="2"/>
  <c r="G57" i="2" s="1"/>
  <c r="H57" i="2" s="1"/>
  <c r="A56" i="2"/>
  <c r="A55" i="2"/>
  <c r="A54" i="2"/>
  <c r="B54" i="2" s="1"/>
  <c r="L54" i="2" s="1"/>
  <c r="A53" i="2"/>
  <c r="G53" i="2" s="1"/>
  <c r="H53" i="2" s="1"/>
  <c r="A52" i="2"/>
  <c r="B52" i="2" s="1"/>
  <c r="A51" i="2"/>
  <c r="D51" i="2" s="1"/>
  <c r="E51" i="2" s="1"/>
  <c r="A50" i="2"/>
  <c r="L50" i="2" s="1"/>
  <c r="A49" i="2"/>
  <c r="H49" i="2" s="1"/>
  <c r="A48" i="2"/>
  <c r="B48" i="2" s="1"/>
  <c r="A47" i="2"/>
  <c r="A46" i="2"/>
  <c r="H46" i="2" s="1"/>
  <c r="A45" i="2"/>
  <c r="E45" i="2" s="1"/>
  <c r="A44" i="2"/>
  <c r="B44" i="2" s="1"/>
  <c r="A43" i="2"/>
  <c r="G43" i="2" s="1"/>
  <c r="H43" i="2" s="1"/>
  <c r="A42" i="2"/>
  <c r="A41" i="2"/>
  <c r="G41" i="2" s="1"/>
  <c r="H41" i="2" s="1"/>
  <c r="A40" i="2"/>
  <c r="G40" i="2" s="1"/>
  <c r="A39" i="2"/>
  <c r="G39" i="2" s="1"/>
  <c r="H39" i="2" s="1"/>
  <c r="A38" i="2"/>
  <c r="A37" i="2"/>
  <c r="A36" i="2"/>
  <c r="B36" i="2" s="1"/>
  <c r="L36" i="2" s="1"/>
  <c r="A35" i="2"/>
  <c r="G35" i="2" s="1"/>
  <c r="H35" i="2" s="1"/>
  <c r="A34" i="2"/>
  <c r="A33" i="2"/>
  <c r="B33" i="2" s="1"/>
  <c r="L33" i="2" s="1"/>
  <c r="A32" i="2"/>
  <c r="A31" i="2"/>
  <c r="B31" i="2" s="1"/>
  <c r="L31" i="2" s="1"/>
  <c r="A30" i="2"/>
  <c r="D30" i="2" s="1"/>
  <c r="A29" i="2"/>
  <c r="G29" i="2" s="1"/>
  <c r="A28" i="2"/>
  <c r="B28" i="2" s="1"/>
  <c r="L28" i="2" s="1"/>
  <c r="A27" i="2"/>
  <c r="B27" i="2" s="1"/>
  <c r="L27" i="2" s="1"/>
  <c r="A26" i="2"/>
  <c r="A25" i="2"/>
  <c r="A24" i="2"/>
  <c r="A23" i="2"/>
  <c r="B23" i="2" s="1"/>
  <c r="L23" i="2" s="1"/>
  <c r="A22" i="2"/>
  <c r="G22" i="2" s="1"/>
  <c r="A21" i="2"/>
  <c r="B21" i="2" s="1"/>
  <c r="A20" i="2"/>
  <c r="G20" i="2" s="1"/>
  <c r="A19" i="2"/>
  <c r="B19" i="2" s="1"/>
  <c r="L19" i="2" s="1"/>
  <c r="A18" i="2"/>
  <c r="D18" i="2" s="1"/>
  <c r="A17" i="2"/>
  <c r="D17" i="2" s="1"/>
  <c r="E17" i="2" s="1"/>
  <c r="A16" i="2"/>
  <c r="D16" i="2" s="1"/>
  <c r="A15" i="2"/>
  <c r="G15" i="2" s="1"/>
  <c r="A14" i="2"/>
  <c r="A13" i="2"/>
  <c r="G13" i="2" s="1"/>
  <c r="A12" i="2"/>
  <c r="D12" i="2" s="1"/>
  <c r="E12" i="2" s="1"/>
  <c r="A11" i="2"/>
  <c r="G11" i="2" s="1"/>
  <c r="H11" i="2" s="1"/>
  <c r="A10" i="2"/>
  <c r="D10" i="2" s="1"/>
  <c r="E10" i="2" s="1"/>
  <c r="A9" i="2"/>
  <c r="A8" i="2"/>
  <c r="G8" i="2" s="1"/>
  <c r="J7" i="2"/>
  <c r="A7" i="2"/>
  <c r="B7" i="2" s="1"/>
  <c r="L7" i="2" s="1"/>
  <c r="A6" i="2"/>
  <c r="G6" i="2" s="1"/>
  <c r="H6" i="2" s="1"/>
  <c r="A5" i="2"/>
  <c r="D5" i="2" s="1"/>
  <c r="A4" i="2"/>
  <c r="G4" i="2" s="1"/>
  <c r="H4" i="2" s="1"/>
  <c r="A3" i="2"/>
  <c r="D15" i="1"/>
  <c r="C90" i="2" l="1"/>
  <c r="E97" i="2"/>
  <c r="C140" i="2"/>
  <c r="F195" i="2"/>
  <c r="G294" i="2"/>
  <c r="B403" i="2"/>
  <c r="C108" i="4"/>
  <c r="D58" i="2"/>
  <c r="E58" i="2" s="1"/>
  <c r="G302" i="2"/>
  <c r="C386" i="4"/>
  <c r="G58" i="2"/>
  <c r="H58" i="2" s="1"/>
  <c r="D399" i="2"/>
  <c r="B192" i="4"/>
  <c r="G48" i="2"/>
  <c r="H89" i="2"/>
  <c r="C113" i="4"/>
  <c r="E181" i="4"/>
  <c r="C188" i="4"/>
  <c r="C289" i="4"/>
  <c r="H48" i="2"/>
  <c r="K88" i="2"/>
  <c r="H97" i="2"/>
  <c r="C192" i="2"/>
  <c r="C203" i="2"/>
  <c r="C211" i="2"/>
  <c r="C262" i="2"/>
  <c r="D188" i="4"/>
  <c r="C230" i="4"/>
  <c r="E329" i="4"/>
  <c r="G394" i="4"/>
  <c r="E401" i="4"/>
  <c r="L88" i="2"/>
  <c r="L97" i="2"/>
  <c r="E188" i="4"/>
  <c r="C179" i="2"/>
  <c r="C111" i="4"/>
  <c r="H50" i="2"/>
  <c r="H85" i="2"/>
  <c r="D89" i="2"/>
  <c r="C98" i="2"/>
  <c r="F301" i="2"/>
  <c r="C356" i="2"/>
  <c r="E346" i="4"/>
  <c r="E361" i="4"/>
  <c r="E250" i="4"/>
  <c r="F297" i="2"/>
  <c r="E371" i="4"/>
  <c r="B18" i="2"/>
  <c r="L18" i="2" s="1"/>
  <c r="E54" i="2"/>
  <c r="B74" i="2"/>
  <c r="H79" i="2"/>
  <c r="G83" i="2"/>
  <c r="H83" i="2" s="1"/>
  <c r="L89" i="2"/>
  <c r="C93" i="2"/>
  <c r="D96" i="2"/>
  <c r="C115" i="2"/>
  <c r="C222" i="2"/>
  <c r="E233" i="2"/>
  <c r="C238" i="2"/>
  <c r="C244" i="2"/>
  <c r="E270" i="2"/>
  <c r="C277" i="2"/>
  <c r="D296" i="2"/>
  <c r="B304" i="2"/>
  <c r="C319" i="2"/>
  <c r="E333" i="2"/>
  <c r="C367" i="2"/>
  <c r="C143" i="4"/>
  <c r="C184" i="4"/>
  <c r="G188" i="4"/>
  <c r="G200" i="4"/>
  <c r="C217" i="4"/>
  <c r="C229" i="4"/>
  <c r="C242" i="4"/>
  <c r="E267" i="4"/>
  <c r="C288" i="4"/>
  <c r="G291" i="4"/>
  <c r="C297" i="4"/>
  <c r="H93" i="2"/>
  <c r="K96" i="2"/>
  <c r="E296" i="2"/>
  <c r="D297" i="4"/>
  <c r="F303" i="4"/>
  <c r="E314" i="4"/>
  <c r="C394" i="4"/>
  <c r="D403" i="4"/>
  <c r="L96" i="2"/>
  <c r="F296" i="2"/>
  <c r="D43" i="2"/>
  <c r="E43" i="2" s="1"/>
  <c r="D7" i="2"/>
  <c r="H51" i="2"/>
  <c r="G81" i="2"/>
  <c r="D85" i="2"/>
  <c r="E85" i="2" s="1"/>
  <c r="D90" i="2"/>
  <c r="H94" i="2"/>
  <c r="C132" i="2"/>
  <c r="G296" i="2"/>
  <c r="G301" i="2"/>
  <c r="E335" i="2"/>
  <c r="C342" i="2"/>
  <c r="B399" i="2"/>
  <c r="D403" i="2"/>
  <c r="E151" i="4"/>
  <c r="C205" i="4"/>
  <c r="C225" i="4"/>
  <c r="E258" i="4"/>
  <c r="G293" i="4"/>
  <c r="D304" i="4"/>
  <c r="C322" i="4"/>
  <c r="C328" i="4"/>
  <c r="F404" i="4"/>
  <c r="H77" i="2"/>
  <c r="K90" i="2"/>
  <c r="K94" i="2"/>
  <c r="D97" i="2"/>
  <c r="B199" i="2"/>
  <c r="C225" i="2"/>
  <c r="E235" i="2"/>
  <c r="E254" i="2"/>
  <c r="B294" i="2"/>
  <c r="E393" i="2"/>
  <c r="C399" i="2"/>
  <c r="C140" i="4"/>
  <c r="E145" i="4"/>
  <c r="F290" i="4"/>
  <c r="E304" i="4"/>
  <c r="C335" i="4"/>
  <c r="C385" i="4"/>
  <c r="G395" i="4"/>
  <c r="D401" i="4"/>
  <c r="G404" i="4"/>
  <c r="H95" i="2"/>
  <c r="C100" i="2"/>
  <c r="E232" i="2"/>
  <c r="C282" i="2"/>
  <c r="C324" i="2"/>
  <c r="F405" i="2"/>
  <c r="C203" i="4"/>
  <c r="C233" i="4"/>
  <c r="E272" i="4"/>
  <c r="E291" i="4"/>
  <c r="E305" i="4"/>
  <c r="D54" i="2"/>
  <c r="G79" i="2"/>
  <c r="D100" i="2"/>
  <c r="E156" i="2"/>
  <c r="C214" i="2"/>
  <c r="F200" i="4"/>
  <c r="E203" i="4"/>
  <c r="F291" i="4"/>
  <c r="E313" i="4"/>
  <c r="G397" i="4"/>
  <c r="C402" i="4"/>
  <c r="B10" i="2"/>
  <c r="L10" i="2" s="1"/>
  <c r="B29" i="2"/>
  <c r="L29" i="2" s="1"/>
  <c r="D33" i="2"/>
  <c r="E33" i="2" s="1"/>
  <c r="B46" i="2"/>
  <c r="E61" i="2"/>
  <c r="E91" i="2"/>
  <c r="L95" i="2"/>
  <c r="C99" i="2"/>
  <c r="L100" i="2"/>
  <c r="C124" i="2"/>
  <c r="C212" i="2"/>
  <c r="C217" i="2"/>
  <c r="C278" i="2"/>
  <c r="C294" i="2"/>
  <c r="C310" i="2"/>
  <c r="E329" i="2"/>
  <c r="C359" i="2"/>
  <c r="F393" i="2"/>
  <c r="B401" i="2"/>
  <c r="F403" i="2"/>
  <c r="C148" i="4"/>
  <c r="E165" i="4"/>
  <c r="C177" i="4"/>
  <c r="C182" i="4"/>
  <c r="E189" i="4"/>
  <c r="C192" i="4"/>
  <c r="C209" i="4"/>
  <c r="E221" i="4"/>
  <c r="E237" i="4"/>
  <c r="E266" i="4"/>
  <c r="G290" i="4"/>
  <c r="E297" i="4"/>
  <c r="F304" i="4"/>
  <c r="E345" i="4"/>
  <c r="C362" i="4"/>
  <c r="D394" i="4"/>
  <c r="F401" i="4"/>
  <c r="E403" i="4"/>
  <c r="D19" i="2"/>
  <c r="E19" i="2" s="1"/>
  <c r="D29" i="2"/>
  <c r="E29" i="2" s="1"/>
  <c r="G33" i="2"/>
  <c r="H33" i="2" s="1"/>
  <c r="B43" i="2"/>
  <c r="L43" i="2" s="1"/>
  <c r="G46" i="2"/>
  <c r="B58" i="2"/>
  <c r="G61" i="2"/>
  <c r="H61" i="2" s="1"/>
  <c r="B68" i="2"/>
  <c r="B76" i="2"/>
  <c r="B80" i="2"/>
  <c r="L80" i="2" s="1"/>
  <c r="C89" i="2"/>
  <c r="B90" i="2"/>
  <c r="F91" i="2"/>
  <c r="B94" i="2"/>
  <c r="C97" i="2"/>
  <c r="B98" i="2"/>
  <c r="D99" i="2"/>
  <c r="M100" i="2"/>
  <c r="D294" i="2"/>
  <c r="G393" i="2"/>
  <c r="D401" i="2"/>
  <c r="B188" i="4"/>
  <c r="F189" i="4"/>
  <c r="F192" i="4"/>
  <c r="C294" i="4"/>
  <c r="F297" i="4"/>
  <c r="C302" i="4"/>
  <c r="G304" i="4"/>
  <c r="E394" i="4"/>
  <c r="G401" i="4"/>
  <c r="E99" i="2"/>
  <c r="E294" i="2"/>
  <c r="E401" i="2"/>
  <c r="G189" i="4"/>
  <c r="G192" i="4"/>
  <c r="F394" i="4"/>
  <c r="F401" i="2"/>
  <c r="F99" i="2"/>
  <c r="B12" i="2"/>
  <c r="L12" i="2" s="1"/>
  <c r="G17" i="2"/>
  <c r="H17" i="2" s="1"/>
  <c r="D27" i="2"/>
  <c r="E27" i="2" s="1"/>
  <c r="G44" i="2"/>
  <c r="H44" i="2" s="1"/>
  <c r="G54" i="2"/>
  <c r="H54" i="2" s="1"/>
  <c r="D70" i="2"/>
  <c r="E70" i="2" s="1"/>
  <c r="D74" i="2"/>
  <c r="H81" i="2"/>
  <c r="G88" i="2"/>
  <c r="F89" i="2"/>
  <c r="G90" i="2"/>
  <c r="L94" i="2"/>
  <c r="G96" i="2"/>
  <c r="F97" i="2"/>
  <c r="G98" i="2"/>
  <c r="C163" i="2"/>
  <c r="C220" i="2"/>
  <c r="C230" i="2"/>
  <c r="C259" i="2"/>
  <c r="B302" i="2"/>
  <c r="C343" i="2"/>
  <c r="E385" i="2"/>
  <c r="F395" i="2"/>
  <c r="E399" i="2"/>
  <c r="C168" i="4"/>
  <c r="B202" i="4"/>
  <c r="D205" i="4"/>
  <c r="C280" i="4"/>
  <c r="C290" i="4"/>
  <c r="F305" i="4"/>
  <c r="E321" i="4"/>
  <c r="C337" i="4"/>
  <c r="E370" i="4"/>
  <c r="D402" i="4"/>
  <c r="G51" i="2"/>
  <c r="G70" i="2"/>
  <c r="H70" i="2" s="1"/>
  <c r="G74" i="2"/>
  <c r="H88" i="2"/>
  <c r="G89" i="2"/>
  <c r="H90" i="2"/>
  <c r="H96" i="2"/>
  <c r="G97" i="2"/>
  <c r="H98" i="2"/>
  <c r="E139" i="2"/>
  <c r="E302" i="2"/>
  <c r="E327" i="2"/>
  <c r="E361" i="2"/>
  <c r="E392" i="2"/>
  <c r="G399" i="2"/>
  <c r="E175" i="4"/>
  <c r="B200" i="4"/>
  <c r="C264" i="4"/>
  <c r="D290" i="4"/>
  <c r="C304" i="4"/>
  <c r="G305" i="4"/>
  <c r="E347" i="4"/>
  <c r="E354" i="4"/>
  <c r="C377" i="4"/>
  <c r="E387" i="4"/>
  <c r="F395" i="4"/>
  <c r="F402" i="4"/>
  <c r="F302" i="2"/>
  <c r="E290" i="4"/>
  <c r="E196" i="4"/>
  <c r="D196" i="4"/>
  <c r="C196" i="4"/>
  <c r="B196" i="4"/>
  <c r="G196" i="4"/>
  <c r="F196" i="4"/>
  <c r="B5" i="2"/>
  <c r="L5" i="2" s="1"/>
  <c r="B16" i="2"/>
  <c r="L16" i="2" s="1"/>
  <c r="G37" i="2"/>
  <c r="H37" i="2" s="1"/>
  <c r="D37" i="2"/>
  <c r="E37" i="2" s="1"/>
  <c r="B37" i="2"/>
  <c r="L37" i="2" s="1"/>
  <c r="B40" i="2"/>
  <c r="L40" i="2" s="1"/>
  <c r="G49" i="2"/>
  <c r="D49" i="2"/>
  <c r="E49" i="2" s="1"/>
  <c r="B49" i="2"/>
  <c r="L49" i="2" s="1"/>
  <c r="B78" i="2"/>
  <c r="L78" i="2" s="1"/>
  <c r="D80" i="2"/>
  <c r="F87" i="2"/>
  <c r="F92" i="2"/>
  <c r="K92" i="2"/>
  <c r="H92" i="2"/>
  <c r="G92" i="2"/>
  <c r="D93" i="2"/>
  <c r="B102" i="2"/>
  <c r="G200" i="2"/>
  <c r="F200" i="2"/>
  <c r="D200" i="2"/>
  <c r="E200" i="2"/>
  <c r="C200" i="2"/>
  <c r="B200" i="2"/>
  <c r="E216" i="2"/>
  <c r="C226" i="2"/>
  <c r="C369" i="2"/>
  <c r="E369" i="2"/>
  <c r="C377" i="2"/>
  <c r="E377" i="2"/>
  <c r="C153" i="4"/>
  <c r="E153" i="4"/>
  <c r="E166" i="4"/>
  <c r="C166" i="4"/>
  <c r="C256" i="4"/>
  <c r="B207" i="2"/>
  <c r="D207" i="2" s="1"/>
  <c r="C207" i="2"/>
  <c r="E221" i="2"/>
  <c r="C221" i="2"/>
  <c r="D305" i="2"/>
  <c r="G305" i="2"/>
  <c r="F305" i="2"/>
  <c r="E305" i="2"/>
  <c r="E383" i="2"/>
  <c r="C383" i="2"/>
  <c r="E243" i="4"/>
  <c r="C243" i="4"/>
  <c r="G87" i="2"/>
  <c r="E116" i="2"/>
  <c r="C116" i="2"/>
  <c r="G25" i="2"/>
  <c r="H25" i="2" s="1"/>
  <c r="D25" i="2"/>
  <c r="E25" i="2" s="1"/>
  <c r="B38" i="2"/>
  <c r="L38" i="2" s="1"/>
  <c r="G78" i="2"/>
  <c r="K91" i="2"/>
  <c r="L91" i="2"/>
  <c r="H91" i="2"/>
  <c r="G91" i="2"/>
  <c r="C101" i="2"/>
  <c r="G190" i="2"/>
  <c r="F190" i="2"/>
  <c r="E190" i="2"/>
  <c r="D190" i="2"/>
  <c r="C190" i="2"/>
  <c r="E240" i="4"/>
  <c r="C240" i="4"/>
  <c r="F86" i="2"/>
  <c r="G86" i="2"/>
  <c r="D86" i="2"/>
  <c r="C86" i="2"/>
  <c r="H102" i="2"/>
  <c r="E319" i="4"/>
  <c r="C319" i="4"/>
  <c r="H45" i="2"/>
  <c r="G45" i="2"/>
  <c r="H47" i="2"/>
  <c r="G47" i="2"/>
  <c r="D47" i="2"/>
  <c r="E47" i="2" s="1"/>
  <c r="D76" i="2"/>
  <c r="L84" i="2"/>
  <c r="G84" i="2"/>
  <c r="H84" i="2" s="1"/>
  <c r="H87" i="2"/>
  <c r="K95" i="2"/>
  <c r="E95" i="2"/>
  <c r="D95" i="2"/>
  <c r="C95" i="2"/>
  <c r="K102" i="2"/>
  <c r="C148" i="2"/>
  <c r="D194" i="2"/>
  <c r="E208" i="2"/>
  <c r="E338" i="2"/>
  <c r="C338" i="2"/>
  <c r="E127" i="4"/>
  <c r="C135" i="4"/>
  <c r="E135" i="4"/>
  <c r="B25" i="2"/>
  <c r="L25" i="2" s="1"/>
  <c r="H29" i="2"/>
  <c r="G31" i="2"/>
  <c r="H31" i="2" s="1"/>
  <c r="D35" i="2"/>
  <c r="E35" i="2" s="1"/>
  <c r="B35" i="2"/>
  <c r="L35" i="2" s="1"/>
  <c r="G38" i="2"/>
  <c r="H38" i="2" s="1"/>
  <c r="B45" i="2"/>
  <c r="L45" i="2" s="1"/>
  <c r="B47" i="2"/>
  <c r="L47" i="2" s="1"/>
  <c r="B50" i="2"/>
  <c r="B66" i="2"/>
  <c r="L66" i="2" s="1"/>
  <c r="G76" i="2"/>
  <c r="H76" i="2" s="1"/>
  <c r="B84" i="2"/>
  <c r="H86" i="2"/>
  <c r="L87" i="2"/>
  <c r="C91" i="2"/>
  <c r="D92" i="2"/>
  <c r="M93" i="2"/>
  <c r="F95" i="2"/>
  <c r="F100" i="2"/>
  <c r="K100" i="2"/>
  <c r="H100" i="2"/>
  <c r="G100" i="2"/>
  <c r="D101" i="2"/>
  <c r="C107" i="2"/>
  <c r="C155" i="2"/>
  <c r="E155" i="2"/>
  <c r="C171" i="2"/>
  <c r="B190" i="2"/>
  <c r="E194" i="2"/>
  <c r="C351" i="2"/>
  <c r="C213" i="4"/>
  <c r="E213" i="4"/>
  <c r="G296" i="4"/>
  <c r="F296" i="4"/>
  <c r="E296" i="4"/>
  <c r="B296" i="4"/>
  <c r="C296" i="4"/>
  <c r="E330" i="4"/>
  <c r="C330" i="4"/>
  <c r="G75" i="2"/>
  <c r="H75" i="2" s="1"/>
  <c r="E75" i="2"/>
  <c r="D75" i="2"/>
  <c r="F102" i="2"/>
  <c r="G102" i="2"/>
  <c r="D102" i="2"/>
  <c r="C102" i="2"/>
  <c r="E132" i="4"/>
  <c r="C132" i="4"/>
  <c r="D78" i="2"/>
  <c r="D31" i="2"/>
  <c r="E31" i="2" s="1"/>
  <c r="E41" i="2"/>
  <c r="D41" i="2"/>
  <c r="B41" i="2"/>
  <c r="L41" i="2" s="1"/>
  <c r="G69" i="2"/>
  <c r="B86" i="2"/>
  <c r="C92" i="2"/>
  <c r="D3" i="2"/>
  <c r="E3" i="2" s="1"/>
  <c r="C3" i="2"/>
  <c r="F3" i="2" s="1"/>
  <c r="B3" i="2"/>
  <c r="L3" i="2" s="1"/>
  <c r="D14" i="2"/>
  <c r="E14" i="2" s="1"/>
  <c r="B14" i="2"/>
  <c r="L14" i="2" s="1"/>
  <c r="L21" i="2"/>
  <c r="D45" i="2"/>
  <c r="G50" i="2"/>
  <c r="L82" i="2"/>
  <c r="G82" i="2"/>
  <c r="H82" i="2" s="1"/>
  <c r="D84" i="2"/>
  <c r="K86" i="2"/>
  <c r="D91" i="2"/>
  <c r="L92" i="2"/>
  <c r="F94" i="2"/>
  <c r="G94" i="2"/>
  <c r="D94" i="2"/>
  <c r="C94" i="2"/>
  <c r="G95" i="2"/>
  <c r="M102" i="2"/>
  <c r="E346" i="2"/>
  <c r="C346" i="2"/>
  <c r="G397" i="2"/>
  <c r="F397" i="2"/>
  <c r="D397" i="2"/>
  <c r="B397" i="2"/>
  <c r="G299" i="4"/>
  <c r="B299" i="4"/>
  <c r="F299" i="4"/>
  <c r="G393" i="4"/>
  <c r="F393" i="4"/>
  <c r="E393" i="4"/>
  <c r="B393" i="4"/>
  <c r="D393" i="4"/>
  <c r="G64" i="2"/>
  <c r="E64" i="2"/>
  <c r="D64" i="2"/>
  <c r="K87" i="2"/>
  <c r="E87" i="2"/>
  <c r="D87" i="2"/>
  <c r="C87" i="2"/>
  <c r="K101" i="2"/>
  <c r="G101" i="2"/>
  <c r="F101" i="2"/>
  <c r="E101" i="2"/>
  <c r="G27" i="2"/>
  <c r="H27" i="2" s="1"/>
  <c r="D39" i="2"/>
  <c r="E39" i="2" s="1"/>
  <c r="B39" i="2"/>
  <c r="L39" i="2" s="1"/>
  <c r="L86" i="2"/>
  <c r="M92" i="2"/>
  <c r="K99" i="2"/>
  <c r="L99" i="2"/>
  <c r="H99" i="2"/>
  <c r="G99" i="2"/>
  <c r="L101" i="2"/>
  <c r="G192" i="2"/>
  <c r="F192" i="2"/>
  <c r="E192" i="2"/>
  <c r="D192" i="2"/>
  <c r="E204" i="2"/>
  <c r="C204" i="2"/>
  <c r="B204" i="2"/>
  <c r="G204" i="2"/>
  <c r="F204" i="2"/>
  <c r="D204" i="2"/>
  <c r="C268" i="2"/>
  <c r="E268" i="2"/>
  <c r="C275" i="4"/>
  <c r="E275" i="4"/>
  <c r="E292" i="4"/>
  <c r="F292" i="4"/>
  <c r="M86" i="2"/>
  <c r="K93" i="2"/>
  <c r="G93" i="2"/>
  <c r="F93" i="2"/>
  <c r="E93" i="2"/>
  <c r="M101" i="2"/>
  <c r="C180" i="2"/>
  <c r="E180" i="2"/>
  <c r="E311" i="2"/>
  <c r="C311" i="2"/>
  <c r="E375" i="2"/>
  <c r="C375" i="2"/>
  <c r="E187" i="4"/>
  <c r="C187" i="4"/>
  <c r="E338" i="4"/>
  <c r="C338" i="4"/>
  <c r="C264" i="2"/>
  <c r="E264" i="2"/>
  <c r="E273" i="2"/>
  <c r="C273" i="2"/>
  <c r="F195" i="4"/>
  <c r="C195" i="4"/>
  <c r="E222" i="4"/>
  <c r="C222" i="4"/>
  <c r="C355" i="4"/>
  <c r="E355" i="4"/>
  <c r="F291" i="2"/>
  <c r="D291" i="2"/>
  <c r="C291" i="2"/>
  <c r="G300" i="2"/>
  <c r="F300" i="2"/>
  <c r="E300" i="2"/>
  <c r="C300" i="2"/>
  <c r="E407" i="2"/>
  <c r="D407" i="2"/>
  <c r="C407" i="2"/>
  <c r="B407" i="2"/>
  <c r="G407" i="2"/>
  <c r="E312" i="4"/>
  <c r="C312" i="4"/>
  <c r="C379" i="4"/>
  <c r="E379" i="4"/>
  <c r="E405" i="4"/>
  <c r="G405" i="4"/>
  <c r="M96" i="2"/>
  <c r="C164" i="2"/>
  <c r="E186" i="2"/>
  <c r="D195" i="2"/>
  <c r="B195" i="2"/>
  <c r="E228" i="2"/>
  <c r="C228" i="2"/>
  <c r="E251" i="2"/>
  <c r="E291" i="2"/>
  <c r="D300" i="2"/>
  <c r="F407" i="2"/>
  <c r="E173" i="4"/>
  <c r="B197" i="4"/>
  <c r="G197" i="4"/>
  <c r="F197" i="4"/>
  <c r="E197" i="4"/>
  <c r="D197" i="4"/>
  <c r="E214" i="4"/>
  <c r="C214" i="4"/>
  <c r="C235" i="4"/>
  <c r="E235" i="4"/>
  <c r="C251" i="4"/>
  <c r="E283" i="4"/>
  <c r="G306" i="4"/>
  <c r="E306" i="4"/>
  <c r="F405" i="4"/>
  <c r="M88" i="2"/>
  <c r="D6" i="2"/>
  <c r="E6" i="2" s="1"/>
  <c r="D8" i="2"/>
  <c r="E8" i="2" s="1"/>
  <c r="B11" i="2"/>
  <c r="L11" i="2" s="1"/>
  <c r="B17" i="2"/>
  <c r="L17" i="2" s="1"/>
  <c r="D67" i="2"/>
  <c r="D77" i="2"/>
  <c r="E77" i="2" s="1"/>
  <c r="B88" i="2"/>
  <c r="M89" i="2"/>
  <c r="L90" i="2"/>
  <c r="B96" i="2"/>
  <c r="M97" i="2"/>
  <c r="L98" i="2"/>
  <c r="C108" i="2"/>
  <c r="C131" i="2"/>
  <c r="C147" i="2"/>
  <c r="C172" i="2"/>
  <c r="C195" i="2"/>
  <c r="C219" i="2"/>
  <c r="C224" i="2"/>
  <c r="E224" i="2"/>
  <c r="E246" i="2"/>
  <c r="C267" i="2"/>
  <c r="E286" i="2"/>
  <c r="C286" i="2"/>
  <c r="G291" i="2"/>
  <c r="E306" i="2"/>
  <c r="G306" i="2"/>
  <c r="F306" i="2"/>
  <c r="E391" i="2"/>
  <c r="D391" i="2"/>
  <c r="C391" i="2"/>
  <c r="B391" i="2"/>
  <c r="E116" i="4"/>
  <c r="C116" i="4"/>
  <c r="E156" i="4"/>
  <c r="E163" i="4"/>
  <c r="C163" i="4"/>
  <c r="E174" i="4"/>
  <c r="C174" i="4"/>
  <c r="G193" i="4"/>
  <c r="D193" i="4"/>
  <c r="C197" i="4"/>
  <c r="F204" i="4"/>
  <c r="E204" i="4"/>
  <c r="D204" i="4"/>
  <c r="C204" i="4"/>
  <c r="D396" i="4"/>
  <c r="G396" i="4"/>
  <c r="F396" i="4"/>
  <c r="C88" i="2"/>
  <c r="M90" i="2"/>
  <c r="C96" i="2"/>
  <c r="M98" i="2"/>
  <c r="E195" i="2"/>
  <c r="F199" i="2"/>
  <c r="E199" i="2"/>
  <c r="C199" i="2"/>
  <c r="G292" i="2"/>
  <c r="F292" i="2"/>
  <c r="E301" i="2"/>
  <c r="E315" i="2"/>
  <c r="C315" i="2"/>
  <c r="F391" i="2"/>
  <c r="E124" i="4"/>
  <c r="C124" i="4"/>
  <c r="B204" i="4"/>
  <c r="G295" i="4"/>
  <c r="E295" i="4"/>
  <c r="D295" i="4"/>
  <c r="C295" i="4"/>
  <c r="B295" i="4"/>
  <c r="E363" i="4"/>
  <c r="E369" i="4"/>
  <c r="C369" i="4"/>
  <c r="E396" i="4"/>
  <c r="G401" i="2"/>
  <c r="E205" i="4"/>
  <c r="F403" i="4"/>
  <c r="F205" i="4"/>
  <c r="G403" i="4"/>
  <c r="G297" i="2"/>
  <c r="C302" i="2"/>
  <c r="D304" i="2"/>
  <c r="E353" i="2"/>
  <c r="C376" i="2"/>
  <c r="B393" i="2"/>
  <c r="B395" i="2"/>
  <c r="B405" i="2"/>
  <c r="C121" i="4"/>
  <c r="C129" i="4"/>
  <c r="E137" i="4"/>
  <c r="E159" i="4"/>
  <c r="C172" i="4"/>
  <c r="C189" i="4"/>
  <c r="C200" i="4"/>
  <c r="G205" i="4"/>
  <c r="C212" i="4"/>
  <c r="C274" i="4"/>
  <c r="C282" i="4"/>
  <c r="C291" i="4"/>
  <c r="B293" i="4"/>
  <c r="D298" i="4"/>
  <c r="C300" i="4"/>
  <c r="C305" i="4"/>
  <c r="E339" i="4"/>
  <c r="C353" i="4"/>
  <c r="C378" i="4"/>
  <c r="D395" i="4"/>
  <c r="B401" i="4"/>
  <c r="D393" i="2"/>
  <c r="D395" i="2"/>
  <c r="D405" i="2"/>
  <c r="D189" i="4"/>
  <c r="D291" i="4"/>
  <c r="E293" i="4"/>
  <c r="D305" i="4"/>
  <c r="E395" i="4"/>
  <c r="F397" i="4"/>
  <c r="E402" i="4"/>
  <c r="E404" i="4"/>
  <c r="D42" i="2"/>
  <c r="E42" i="2" s="1"/>
  <c r="B9" i="2"/>
  <c r="L9" i="2" s="1"/>
  <c r="H13" i="2"/>
  <c r="H15" i="2"/>
  <c r="H20" i="2"/>
  <c r="D21" i="2"/>
  <c r="E21" i="2" s="1"/>
  <c r="H22" i="2"/>
  <c r="D23" i="2"/>
  <c r="E23" i="2" s="1"/>
  <c r="B26" i="2"/>
  <c r="L26" i="2" s="1"/>
  <c r="D28" i="2"/>
  <c r="E28" i="2" s="1"/>
  <c r="G30" i="2"/>
  <c r="H30" i="2" s="1"/>
  <c r="B34" i="2"/>
  <c r="L34" i="2" s="1"/>
  <c r="D36" i="2"/>
  <c r="E36" i="2" s="1"/>
  <c r="B42" i="2"/>
  <c r="L42" i="2" s="1"/>
  <c r="E44" i="2"/>
  <c r="D44" i="2"/>
  <c r="L44" i="2"/>
  <c r="G60" i="2"/>
  <c r="H60" i="2" s="1"/>
  <c r="C133" i="2"/>
  <c r="E151" i="2"/>
  <c r="C151" i="2"/>
  <c r="E218" i="2"/>
  <c r="C218" i="2"/>
  <c r="B63" i="2"/>
  <c r="L63" i="2" s="1"/>
  <c r="E63" i="2"/>
  <c r="D63" i="2"/>
  <c r="C141" i="2"/>
  <c r="E141" i="2"/>
  <c r="B295" i="2"/>
  <c r="G295" i="2"/>
  <c r="F295" i="2"/>
  <c r="E295" i="2"/>
  <c r="C295" i="2"/>
  <c r="E314" i="2"/>
  <c r="C314" i="2"/>
  <c r="B59" i="2"/>
  <c r="L59" i="2" s="1"/>
  <c r="G59" i="2"/>
  <c r="H59" i="2" s="1"/>
  <c r="G63" i="2"/>
  <c r="E143" i="2"/>
  <c r="E5" i="2"/>
  <c r="E7" i="2"/>
  <c r="H8" i="2"/>
  <c r="D9" i="2"/>
  <c r="E9" i="2" s="1"/>
  <c r="G10" i="2"/>
  <c r="H10" i="2" s="1"/>
  <c r="G12" i="2"/>
  <c r="H12" i="2" s="1"/>
  <c r="B13" i="2"/>
  <c r="L13" i="2" s="1"/>
  <c r="B15" i="2"/>
  <c r="L15" i="2" s="1"/>
  <c r="E16" i="2"/>
  <c r="E18" i="2"/>
  <c r="G19" i="2"/>
  <c r="H19" i="2" s="1"/>
  <c r="B20" i="2"/>
  <c r="L20" i="2" s="1"/>
  <c r="B22" i="2"/>
  <c r="L22" i="2" s="1"/>
  <c r="B24" i="2"/>
  <c r="L24" i="2" s="1"/>
  <c r="D26" i="2"/>
  <c r="E26" i="2" s="1"/>
  <c r="G28" i="2"/>
  <c r="H28" i="2" s="1"/>
  <c r="B32" i="2"/>
  <c r="L32" i="2" s="1"/>
  <c r="D34" i="2"/>
  <c r="E34" i="2" s="1"/>
  <c r="G36" i="2"/>
  <c r="H36" i="2" s="1"/>
  <c r="D38" i="2"/>
  <c r="E38" i="2" s="1"/>
  <c r="H40" i="2"/>
  <c r="G42" i="2"/>
  <c r="D46" i="2"/>
  <c r="E46" i="2" s="1"/>
  <c r="L46" i="2"/>
  <c r="D59" i="2"/>
  <c r="E59" i="2" s="1"/>
  <c r="B62" i="2"/>
  <c r="H63" i="2"/>
  <c r="H72" i="2"/>
  <c r="C109" i="2"/>
  <c r="E109" i="2"/>
  <c r="C113" i="2"/>
  <c r="E158" i="2"/>
  <c r="C158" i="2"/>
  <c r="C189" i="2"/>
  <c r="D191" i="2"/>
  <c r="C191" i="2"/>
  <c r="B191" i="2"/>
  <c r="F191" i="2"/>
  <c r="G191" i="2"/>
  <c r="E191" i="2"/>
  <c r="B201" i="2"/>
  <c r="E201" i="2"/>
  <c r="D201" i="2"/>
  <c r="C201" i="2"/>
  <c r="G201" i="2"/>
  <c r="C272" i="2"/>
  <c r="E272" i="2"/>
  <c r="B55" i="2"/>
  <c r="L55" i="2" s="1"/>
  <c r="G55" i="2"/>
  <c r="H55" i="2" s="1"/>
  <c r="C185" i="2"/>
  <c r="E185" i="2"/>
  <c r="B4" i="2"/>
  <c r="L4" i="2" s="1"/>
  <c r="G3" i="2"/>
  <c r="H3" i="2" s="1"/>
  <c r="B6" i="2"/>
  <c r="L6" i="2" s="1"/>
  <c r="D11" i="2"/>
  <c r="E11" i="2" s="1"/>
  <c r="G14" i="2"/>
  <c r="H14" i="2" s="1"/>
  <c r="G21" i="2"/>
  <c r="H21" i="2" s="1"/>
  <c r="G23" i="2"/>
  <c r="H23" i="2" s="1"/>
  <c r="E30" i="2"/>
  <c r="H42" i="2"/>
  <c r="L52" i="2"/>
  <c r="D55" i="2"/>
  <c r="E55" i="2" s="1"/>
  <c r="B65" i="2"/>
  <c r="L65" i="2" s="1"/>
  <c r="G65" i="2"/>
  <c r="H65" i="2" s="1"/>
  <c r="D65" i="2"/>
  <c r="E65" i="2" s="1"/>
  <c r="E119" i="2"/>
  <c r="C119" i="2"/>
  <c r="C143" i="2"/>
  <c r="E177" i="2"/>
  <c r="F201" i="2"/>
  <c r="C241" i="2"/>
  <c r="E241" i="2"/>
  <c r="E257" i="2"/>
  <c r="E261" i="2"/>
  <c r="C261" i="2"/>
  <c r="G56" i="2"/>
  <c r="H56" i="2" s="1"/>
  <c r="D56" i="2"/>
  <c r="E56" i="2" s="1"/>
  <c r="B56" i="2"/>
  <c r="L56" i="2" s="1"/>
  <c r="E121" i="2"/>
  <c r="C121" i="2"/>
  <c r="G62" i="2"/>
  <c r="H62" i="2" s="1"/>
  <c r="E62" i="2"/>
  <c r="G72" i="2"/>
  <c r="E72" i="2"/>
  <c r="D72" i="2"/>
  <c r="B72" i="2"/>
  <c r="L72" i="2" s="1"/>
  <c r="E113" i="2"/>
  <c r="F189" i="2"/>
  <c r="G189" i="2"/>
  <c r="B189" i="2"/>
  <c r="E189" i="2"/>
  <c r="D4" i="2"/>
  <c r="E4" i="2" s="1"/>
  <c r="G5" i="2"/>
  <c r="H5" i="2" s="1"/>
  <c r="G7" i="2"/>
  <c r="H7" i="2" s="1"/>
  <c r="B8" i="2"/>
  <c r="L8" i="2" s="1"/>
  <c r="D13" i="2"/>
  <c r="E13" i="2" s="1"/>
  <c r="D15" i="2"/>
  <c r="G16" i="2"/>
  <c r="H16" i="2" s="1"/>
  <c r="G18" i="2"/>
  <c r="H18" i="2" s="1"/>
  <c r="D20" i="2"/>
  <c r="E20" i="2" s="1"/>
  <c r="D22" i="2"/>
  <c r="E22" i="2" s="1"/>
  <c r="D24" i="2"/>
  <c r="E24" i="2" s="1"/>
  <c r="G26" i="2"/>
  <c r="H26" i="2" s="1"/>
  <c r="B30" i="2"/>
  <c r="L30" i="2" s="1"/>
  <c r="D32" i="2"/>
  <c r="E32" i="2" s="1"/>
  <c r="G34" i="2"/>
  <c r="H34" i="2" s="1"/>
  <c r="H68" i="2"/>
  <c r="G68" i="2"/>
  <c r="D68" i="2"/>
  <c r="E68" i="2" s="1"/>
  <c r="B71" i="2"/>
  <c r="L71" i="2" s="1"/>
  <c r="G71" i="2"/>
  <c r="H71" i="2" s="1"/>
  <c r="E71" i="2"/>
  <c r="E111" i="2"/>
  <c r="E153" i="2"/>
  <c r="C153" i="2"/>
  <c r="C173" i="2"/>
  <c r="E173" i="2"/>
  <c r="C177" i="2"/>
  <c r="C202" i="2"/>
  <c r="G202" i="2"/>
  <c r="F202" i="2"/>
  <c r="E202" i="2"/>
  <c r="D202" i="2"/>
  <c r="B202" i="2"/>
  <c r="C257" i="2"/>
  <c r="E317" i="2"/>
  <c r="C317" i="2"/>
  <c r="G9" i="2"/>
  <c r="H9" i="2" s="1"/>
  <c r="D40" i="2"/>
  <c r="E40" i="2" s="1"/>
  <c r="E126" i="2"/>
  <c r="C126" i="2"/>
  <c r="C165" i="2"/>
  <c r="E183" i="2"/>
  <c r="C183" i="2"/>
  <c r="E196" i="2"/>
  <c r="D196" i="2"/>
  <c r="C196" i="2"/>
  <c r="B196" i="2"/>
  <c r="G196" i="2"/>
  <c r="E258" i="2"/>
  <c r="C258" i="2"/>
  <c r="G24" i="2"/>
  <c r="H24" i="2" s="1"/>
  <c r="G32" i="2"/>
  <c r="H32" i="2" s="1"/>
  <c r="H52" i="2"/>
  <c r="G52" i="2"/>
  <c r="D52" i="2"/>
  <c r="E52" i="2" s="1"/>
  <c r="D60" i="2"/>
  <c r="E60" i="2" s="1"/>
  <c r="B60" i="2"/>
  <c r="L60" i="2" s="1"/>
  <c r="L62" i="2"/>
  <c r="E145" i="2"/>
  <c r="E175" i="2"/>
  <c r="F293" i="2"/>
  <c r="E293" i="2"/>
  <c r="D293" i="2"/>
  <c r="C293" i="2"/>
  <c r="B293" i="2"/>
  <c r="B53" i="2"/>
  <c r="L53" i="2" s="1"/>
  <c r="G67" i="2"/>
  <c r="H67" i="2" s="1"/>
  <c r="B69" i="2"/>
  <c r="L69" i="2"/>
  <c r="E134" i="2"/>
  <c r="C134" i="2"/>
  <c r="E166" i="2"/>
  <c r="C166" i="2"/>
  <c r="E187" i="2"/>
  <c r="C187" i="2"/>
  <c r="F197" i="2"/>
  <c r="G197" i="2"/>
  <c r="E197" i="2"/>
  <c r="D197" i="2"/>
  <c r="E247" i="2"/>
  <c r="C247" i="2"/>
  <c r="E276" i="2"/>
  <c r="C276" i="2"/>
  <c r="E332" i="2"/>
  <c r="C332" i="2"/>
  <c r="E355" i="2"/>
  <c r="C355" i="2"/>
  <c r="C380" i="2"/>
  <c r="E380" i="2"/>
  <c r="C117" i="2"/>
  <c r="E127" i="2"/>
  <c r="C149" i="2"/>
  <c r="E159" i="2"/>
  <c r="C181" i="2"/>
  <c r="B193" i="2"/>
  <c r="G193" i="2"/>
  <c r="F193" i="2"/>
  <c r="E193" i="2"/>
  <c r="L48" i="2"/>
  <c r="D53" i="2"/>
  <c r="E53" i="2" s="1"/>
  <c r="B57" i="2"/>
  <c r="L57" i="2"/>
  <c r="D69" i="2"/>
  <c r="E69" i="2" s="1"/>
  <c r="B73" i="2"/>
  <c r="L73" i="2" s="1"/>
  <c r="E110" i="2"/>
  <c r="C110" i="2"/>
  <c r="E117" i="2"/>
  <c r="C129" i="2"/>
  <c r="E142" i="2"/>
  <c r="C142" i="2"/>
  <c r="E149" i="2"/>
  <c r="C161" i="2"/>
  <c r="E174" i="2"/>
  <c r="C174" i="2"/>
  <c r="E181" i="2"/>
  <c r="E188" i="2"/>
  <c r="G188" i="2"/>
  <c r="F188" i="2"/>
  <c r="D188" i="2"/>
  <c r="C193" i="2"/>
  <c r="C197" i="2"/>
  <c r="D203" i="2"/>
  <c r="G203" i="2"/>
  <c r="B203" i="2"/>
  <c r="D48" i="2"/>
  <c r="E48" i="2" s="1"/>
  <c r="D50" i="2"/>
  <c r="E50" i="2" s="1"/>
  <c r="B51" i="2"/>
  <c r="L51" i="2" s="1"/>
  <c r="D66" i="2"/>
  <c r="E66" i="2" s="1"/>
  <c r="B67" i="2"/>
  <c r="L67" i="2" s="1"/>
  <c r="C125" i="2"/>
  <c r="C127" i="2"/>
  <c r="E135" i="2"/>
  <c r="C157" i="2"/>
  <c r="C159" i="2"/>
  <c r="E167" i="2"/>
  <c r="D193" i="2"/>
  <c r="G198" i="2"/>
  <c r="F198" i="2"/>
  <c r="B198" i="2"/>
  <c r="D289" i="2"/>
  <c r="G289" i="2"/>
  <c r="F289" i="2"/>
  <c r="E289" i="2"/>
  <c r="C289" i="2"/>
  <c r="B289" i="2"/>
  <c r="C328" i="2"/>
  <c r="E328" i="2"/>
  <c r="D57" i="2"/>
  <c r="E57" i="2" s="1"/>
  <c r="B61" i="2"/>
  <c r="L61" i="2" s="1"/>
  <c r="B64" i="2"/>
  <c r="L64" i="2" s="1"/>
  <c r="D73" i="2"/>
  <c r="E73" i="2" s="1"/>
  <c r="E74" i="2"/>
  <c r="L74" i="2"/>
  <c r="E118" i="2"/>
  <c r="C118" i="2"/>
  <c r="E125" i="2"/>
  <c r="E129" i="2"/>
  <c r="C137" i="2"/>
  <c r="E150" i="2"/>
  <c r="C150" i="2"/>
  <c r="E157" i="2"/>
  <c r="E161" i="2"/>
  <c r="C169" i="2"/>
  <c r="E182" i="2"/>
  <c r="C182" i="2"/>
  <c r="C188" i="2"/>
  <c r="C194" i="2"/>
  <c r="G194" i="2"/>
  <c r="B194" i="2"/>
  <c r="C198" i="2"/>
  <c r="E203" i="2"/>
  <c r="F205" i="2"/>
  <c r="D205" i="2"/>
  <c r="C205" i="2"/>
  <c r="B205" i="2"/>
  <c r="G205" i="2"/>
  <c r="E213" i="2"/>
  <c r="C213" i="2"/>
  <c r="E215" i="2"/>
  <c r="C215" i="2"/>
  <c r="E274" i="2"/>
  <c r="C274" i="2"/>
  <c r="I86" i="2"/>
  <c r="I88" i="2"/>
  <c r="I90" i="2"/>
  <c r="I92" i="2"/>
  <c r="I94" i="2"/>
  <c r="I96" i="2"/>
  <c r="I98" i="2"/>
  <c r="I100" i="2"/>
  <c r="I102" i="2"/>
  <c r="C106" i="2"/>
  <c r="G106" i="2" s="1"/>
  <c r="C114" i="2"/>
  <c r="C122" i="2"/>
  <c r="C130" i="2"/>
  <c r="C138" i="2"/>
  <c r="C146" i="2"/>
  <c r="C154" i="2"/>
  <c r="C162" i="2"/>
  <c r="C170" i="2"/>
  <c r="C178" i="2"/>
  <c r="E210" i="2"/>
  <c r="C240" i="2"/>
  <c r="E240" i="2"/>
  <c r="E243" i="2"/>
  <c r="C256" i="2"/>
  <c r="E256" i="2"/>
  <c r="E290" i="2"/>
  <c r="G290" i="2"/>
  <c r="F290" i="2"/>
  <c r="D290" i="2"/>
  <c r="C290" i="2"/>
  <c r="B290" i="2"/>
  <c r="B303" i="2"/>
  <c r="G303" i="2"/>
  <c r="F303" i="2"/>
  <c r="E303" i="2"/>
  <c r="D303" i="2"/>
  <c r="C303" i="2"/>
  <c r="E331" i="2"/>
  <c r="C331" i="2"/>
  <c r="E365" i="2"/>
  <c r="C365" i="2"/>
  <c r="F396" i="2"/>
  <c r="D396" i="2"/>
  <c r="B396" i="2"/>
  <c r="G396" i="2"/>
  <c r="C396" i="2"/>
  <c r="E396" i="2"/>
  <c r="E336" i="2"/>
  <c r="C336" i="2"/>
  <c r="E341" i="2"/>
  <c r="C341" i="2"/>
  <c r="E349" i="2"/>
  <c r="C349" i="2"/>
  <c r="E76" i="2"/>
  <c r="E78" i="2"/>
  <c r="E80" i="2"/>
  <c r="E82" i="2"/>
  <c r="E84" i="2"/>
  <c r="E86" i="2"/>
  <c r="I87" i="2"/>
  <c r="E88" i="2"/>
  <c r="I89" i="2"/>
  <c r="E90" i="2"/>
  <c r="I91" i="2"/>
  <c r="E92" i="2"/>
  <c r="I93" i="2"/>
  <c r="E94" i="2"/>
  <c r="I95" i="2"/>
  <c r="E96" i="2"/>
  <c r="I97" i="2"/>
  <c r="E98" i="2"/>
  <c r="I99" i="2"/>
  <c r="E100" i="2"/>
  <c r="I101" i="2"/>
  <c r="E102" i="2"/>
  <c r="E112" i="2"/>
  <c r="E120" i="2"/>
  <c r="E128" i="2"/>
  <c r="E136" i="2"/>
  <c r="E144" i="2"/>
  <c r="E152" i="2"/>
  <c r="E160" i="2"/>
  <c r="E168" i="2"/>
  <c r="E176" i="2"/>
  <c r="E184" i="2"/>
  <c r="C209" i="2"/>
  <c r="E249" i="2"/>
  <c r="C249" i="2"/>
  <c r="C252" i="2"/>
  <c r="C337" i="2"/>
  <c r="E337" i="2"/>
  <c r="B75" i="2"/>
  <c r="L75" i="2" s="1"/>
  <c r="B77" i="2"/>
  <c r="L77" i="2" s="1"/>
  <c r="B79" i="2"/>
  <c r="L79" i="2" s="1"/>
  <c r="B81" i="2"/>
  <c r="L81" i="2" s="1"/>
  <c r="B83" i="2"/>
  <c r="L83" i="2" s="1"/>
  <c r="B85" i="2"/>
  <c r="L85" i="2" s="1"/>
  <c r="B87" i="2"/>
  <c r="B89" i="2"/>
  <c r="B91" i="2"/>
  <c r="B93" i="2"/>
  <c r="B95" i="2"/>
  <c r="B97" i="2"/>
  <c r="B99" i="2"/>
  <c r="B101" i="2"/>
  <c r="C223" i="2"/>
  <c r="E227" i="2"/>
  <c r="C227" i="2"/>
  <c r="E252" i="2"/>
  <c r="E308" i="2"/>
  <c r="C308" i="2"/>
  <c r="B308" i="2"/>
  <c r="B398" i="2"/>
  <c r="F398" i="2"/>
  <c r="D398" i="2"/>
  <c r="G398" i="2"/>
  <c r="C398" i="2"/>
  <c r="E398" i="2"/>
  <c r="E250" i="2"/>
  <c r="C250" i="2"/>
  <c r="E266" i="2"/>
  <c r="F299" i="2"/>
  <c r="G299" i="2"/>
  <c r="E299" i="2"/>
  <c r="B299" i="2"/>
  <c r="D299" i="2"/>
  <c r="E309" i="2"/>
  <c r="C309" i="2"/>
  <c r="E323" i="2"/>
  <c r="C323" i="2"/>
  <c r="E384" i="2"/>
  <c r="C384" i="2"/>
  <c r="C236" i="2"/>
  <c r="E237" i="2"/>
  <c r="C253" i="2"/>
  <c r="E279" i="2"/>
  <c r="C279" i="2"/>
  <c r="C281" i="2"/>
  <c r="C283" i="2"/>
  <c r="C382" i="2"/>
  <c r="E236" i="2"/>
  <c r="E242" i="2"/>
  <c r="E253" i="2"/>
  <c r="E265" i="2"/>
  <c r="C265" i="2"/>
  <c r="C269" i="2"/>
  <c r="C378" i="2"/>
  <c r="E157" i="4"/>
  <c r="C157" i="4"/>
  <c r="E231" i="2"/>
  <c r="C239" i="2"/>
  <c r="C245" i="2"/>
  <c r="E263" i="2"/>
  <c r="E269" i="2"/>
  <c r="C280" i="2"/>
  <c r="E280" i="2"/>
  <c r="E284" i="2"/>
  <c r="E298" i="2"/>
  <c r="G298" i="2"/>
  <c r="F298" i="2"/>
  <c r="D298" i="2"/>
  <c r="C298" i="2"/>
  <c r="C304" i="2"/>
  <c r="G304" i="2"/>
  <c r="F304" i="2"/>
  <c r="C313" i="2"/>
  <c r="E313" i="2"/>
  <c r="E318" i="2"/>
  <c r="E322" i="2"/>
  <c r="C322" i="2"/>
  <c r="E340" i="2"/>
  <c r="C340" i="2"/>
  <c r="E378" i="2"/>
  <c r="F394" i="2"/>
  <c r="D394" i="2"/>
  <c r="B394" i="2"/>
  <c r="G394" i="2"/>
  <c r="C394" i="2"/>
  <c r="C248" i="2"/>
  <c r="C260" i="2"/>
  <c r="E271" i="2"/>
  <c r="E275" i="2"/>
  <c r="C345" i="2"/>
  <c r="E345" i="2"/>
  <c r="E348" i="2"/>
  <c r="C348" i="2"/>
  <c r="E285" i="2"/>
  <c r="E326" i="2"/>
  <c r="C326" i="2"/>
  <c r="B390" i="2"/>
  <c r="F390" i="2"/>
  <c r="D390" i="2"/>
  <c r="D400" i="2"/>
  <c r="B400" i="2"/>
  <c r="F400" i="2"/>
  <c r="E352" i="2"/>
  <c r="E357" i="2"/>
  <c r="E368" i="2"/>
  <c r="C386" i="2"/>
  <c r="C388" i="2"/>
  <c r="C390" i="2"/>
  <c r="C400" i="2"/>
  <c r="E109" i="4"/>
  <c r="C109" i="4"/>
  <c r="B292" i="2"/>
  <c r="B297" i="2"/>
  <c r="B301" i="2"/>
  <c r="B306" i="2"/>
  <c r="C312" i="2"/>
  <c r="C344" i="2"/>
  <c r="E358" i="2"/>
  <c r="C364" i="2"/>
  <c r="E386" i="2"/>
  <c r="E388" i="2"/>
  <c r="E390" i="2"/>
  <c r="E400" i="2"/>
  <c r="F402" i="2"/>
  <c r="D402" i="2"/>
  <c r="B402" i="2"/>
  <c r="F404" i="2"/>
  <c r="D404" i="2"/>
  <c r="B404" i="2"/>
  <c r="B406" i="2"/>
  <c r="F406" i="2"/>
  <c r="D406" i="2"/>
  <c r="C110" i="4"/>
  <c r="E110" i="4"/>
  <c r="C292" i="2"/>
  <c r="C297" i="2"/>
  <c r="C301" i="2"/>
  <c r="C306" i="2"/>
  <c r="C316" i="2"/>
  <c r="C325" i="2"/>
  <c r="C330" i="2"/>
  <c r="C334" i="2"/>
  <c r="C339" i="2"/>
  <c r="E347" i="2"/>
  <c r="C347" i="2"/>
  <c r="C354" i="2"/>
  <c r="C357" i="2"/>
  <c r="C360" i="2"/>
  <c r="E363" i="2"/>
  <c r="C363" i="2"/>
  <c r="E364" i="2"/>
  <c r="C370" i="2"/>
  <c r="C372" i="2"/>
  <c r="C374" i="2"/>
  <c r="G390" i="2"/>
  <c r="D392" i="2"/>
  <c r="B392" i="2"/>
  <c r="F392" i="2"/>
  <c r="G400" i="2"/>
  <c r="C402" i="2"/>
  <c r="C404" i="2"/>
  <c r="C406" i="2"/>
  <c r="C255" i="2"/>
  <c r="C287" i="2"/>
  <c r="E288" i="2"/>
  <c r="B291" i="2"/>
  <c r="D292" i="2"/>
  <c r="B296" i="2"/>
  <c r="E297" i="2"/>
  <c r="B300" i="2"/>
  <c r="B305" i="2"/>
  <c r="D306" i="2"/>
  <c r="E312" i="2"/>
  <c r="C320" i="2"/>
  <c r="E321" i="2"/>
  <c r="E330" i="2"/>
  <c r="E344" i="2"/>
  <c r="C350" i="2"/>
  <c r="E354" i="2"/>
  <c r="C366" i="2"/>
  <c r="E370" i="2"/>
  <c r="E372" i="2"/>
  <c r="E374" i="2"/>
  <c r="C392" i="2"/>
  <c r="E402" i="2"/>
  <c r="E404" i="2"/>
  <c r="E406" i="2"/>
  <c r="C114" i="4"/>
  <c r="E114" i="4"/>
  <c r="E171" i="4"/>
  <c r="C171" i="4"/>
  <c r="E176" i="4"/>
  <c r="C176" i="4"/>
  <c r="C207" i="4"/>
  <c r="B207" i="4"/>
  <c r="E207" i="4"/>
  <c r="C373" i="2"/>
  <c r="C381" i="2"/>
  <c r="C389" i="2"/>
  <c r="C397" i="2"/>
  <c r="C405" i="2"/>
  <c r="E180" i="4"/>
  <c r="C180" i="4"/>
  <c r="G198" i="4"/>
  <c r="C198" i="4"/>
  <c r="B198" i="4"/>
  <c r="F198" i="4"/>
  <c r="E198" i="4"/>
  <c r="E271" i="4"/>
  <c r="C271" i="4"/>
  <c r="C371" i="2"/>
  <c r="E373" i="2"/>
  <c r="C379" i="2"/>
  <c r="E381" i="2"/>
  <c r="C387" i="2"/>
  <c r="E389" i="2"/>
  <c r="C395" i="2"/>
  <c r="E397" i="2"/>
  <c r="C403" i="2"/>
  <c r="E405" i="2"/>
  <c r="E149" i="4"/>
  <c r="C149" i="4"/>
  <c r="E158" i="4"/>
  <c r="C158" i="4"/>
  <c r="G190" i="4"/>
  <c r="C190" i="4"/>
  <c r="B190" i="4"/>
  <c r="F190" i="4"/>
  <c r="E190" i="4"/>
  <c r="C227" i="4"/>
  <c r="E227" i="4"/>
  <c r="E246" i="4"/>
  <c r="E141" i="4"/>
  <c r="C141" i="4"/>
  <c r="E150" i="4"/>
  <c r="C150" i="4"/>
  <c r="D190" i="4"/>
  <c r="E371" i="2"/>
  <c r="E379" i="2"/>
  <c r="E387" i="2"/>
  <c r="E395" i="2"/>
  <c r="E403" i="2"/>
  <c r="C106" i="4"/>
  <c r="B106" i="4"/>
  <c r="D106" i="4" s="1"/>
  <c r="E117" i="4"/>
  <c r="C117" i="4"/>
  <c r="E125" i="4"/>
  <c r="C125" i="4"/>
  <c r="E133" i="4"/>
  <c r="C133" i="4"/>
  <c r="E142" i="4"/>
  <c r="C142" i="4"/>
  <c r="E265" i="4"/>
  <c r="C265" i="4"/>
  <c r="E284" i="4"/>
  <c r="C284" i="4"/>
  <c r="E106" i="4"/>
  <c r="E118" i="4"/>
  <c r="C118" i="4"/>
  <c r="E126" i="4"/>
  <c r="C126" i="4"/>
  <c r="E134" i="4"/>
  <c r="C134" i="4"/>
  <c r="E162" i="4"/>
  <c r="C162" i="4"/>
  <c r="C167" i="4"/>
  <c r="E167" i="4"/>
  <c r="C219" i="4"/>
  <c r="E219" i="4"/>
  <c r="E112" i="4"/>
  <c r="E120" i="4"/>
  <c r="E128" i="4"/>
  <c r="E136" i="4"/>
  <c r="E144" i="4"/>
  <c r="E152" i="4"/>
  <c r="C186" i="4"/>
  <c r="C194" i="4"/>
  <c r="G194" i="4"/>
  <c r="F194" i="4"/>
  <c r="C202" i="4"/>
  <c r="G202" i="4"/>
  <c r="F202" i="4"/>
  <c r="C211" i="4"/>
  <c r="C224" i="4"/>
  <c r="E238" i="4"/>
  <c r="C238" i="4"/>
  <c r="E241" i="4"/>
  <c r="C241" i="4"/>
  <c r="B194" i="4"/>
  <c r="C216" i="4"/>
  <c r="E231" i="4"/>
  <c r="C231" i="4"/>
  <c r="E234" i="4"/>
  <c r="D191" i="4"/>
  <c r="C191" i="4"/>
  <c r="D199" i="4"/>
  <c r="C199" i="4"/>
  <c r="C208" i="4"/>
  <c r="E226" i="4"/>
  <c r="E239" i="4"/>
  <c r="E257" i="4"/>
  <c r="E263" i="4"/>
  <c r="C263" i="4"/>
  <c r="C107" i="4"/>
  <c r="C115" i="4"/>
  <c r="C123" i="4"/>
  <c r="C131" i="4"/>
  <c r="C139" i="4"/>
  <c r="C147" i="4"/>
  <c r="C155" i="4"/>
  <c r="C161" i="4"/>
  <c r="C170" i="4"/>
  <c r="C179" i="4"/>
  <c r="E183" i="4"/>
  <c r="E186" i="4"/>
  <c r="B191" i="4"/>
  <c r="E194" i="4"/>
  <c r="B199" i="4"/>
  <c r="E202" i="4"/>
  <c r="E211" i="4"/>
  <c r="E216" i="4"/>
  <c r="E218" i="4"/>
  <c r="C226" i="4"/>
  <c r="C228" i="4"/>
  <c r="E232" i="4"/>
  <c r="C232" i="4"/>
  <c r="C239" i="4"/>
  <c r="C257" i="4"/>
  <c r="E273" i="4"/>
  <c r="C273" i="4"/>
  <c r="C122" i="4"/>
  <c r="C130" i="4"/>
  <c r="C138" i="4"/>
  <c r="C146" i="4"/>
  <c r="C154" i="4"/>
  <c r="E185" i="4"/>
  <c r="E191" i="4"/>
  <c r="B193" i="4"/>
  <c r="F193" i="4"/>
  <c r="E193" i="4"/>
  <c r="D195" i="4"/>
  <c r="G195" i="4"/>
  <c r="E199" i="4"/>
  <c r="B201" i="4"/>
  <c r="F201" i="4"/>
  <c r="E201" i="4"/>
  <c r="D203" i="4"/>
  <c r="G203" i="4"/>
  <c r="E208" i="4"/>
  <c r="E210" i="4"/>
  <c r="C223" i="4"/>
  <c r="E228" i="4"/>
  <c r="E248" i="4"/>
  <c r="C248" i="4"/>
  <c r="C252" i="4"/>
  <c r="E252" i="4"/>
  <c r="E255" i="4"/>
  <c r="C255" i="4"/>
  <c r="C160" i="4"/>
  <c r="C169" i="4"/>
  <c r="E170" i="4"/>
  <c r="C178" i="4"/>
  <c r="E179" i="4"/>
  <c r="C185" i="4"/>
  <c r="F191" i="4"/>
  <c r="C193" i="4"/>
  <c r="B195" i="4"/>
  <c r="F199" i="4"/>
  <c r="C201" i="4"/>
  <c r="B203" i="4"/>
  <c r="C210" i="4"/>
  <c r="C215" i="4"/>
  <c r="C220" i="4"/>
  <c r="C245" i="4"/>
  <c r="E245" i="4"/>
  <c r="D192" i="4"/>
  <c r="D200" i="4"/>
  <c r="E254" i="4"/>
  <c r="E279" i="4"/>
  <c r="C279" i="4"/>
  <c r="E281" i="4"/>
  <c r="E287" i="4"/>
  <c r="C287" i="4"/>
  <c r="E309" i="4"/>
  <c r="C309" i="4"/>
  <c r="E325" i="4"/>
  <c r="C325" i="4"/>
  <c r="E247" i="4"/>
  <c r="C254" i="4"/>
  <c r="C281" i="4"/>
  <c r="C244" i="4"/>
  <c r="E260" i="4"/>
  <c r="C260" i="4"/>
  <c r="E262" i="4"/>
  <c r="E342" i="4"/>
  <c r="C342" i="4"/>
  <c r="E350" i="4"/>
  <c r="C350" i="4"/>
  <c r="E358" i="4"/>
  <c r="C358" i="4"/>
  <c r="E366" i="4"/>
  <c r="C366" i="4"/>
  <c r="E374" i="4"/>
  <c r="C374" i="4"/>
  <c r="E382" i="4"/>
  <c r="C382" i="4"/>
  <c r="E268" i="4"/>
  <c r="C268" i="4"/>
  <c r="E270" i="4"/>
  <c r="E236" i="4"/>
  <c r="C249" i="4"/>
  <c r="C270" i="4"/>
  <c r="E276" i="4"/>
  <c r="C276" i="4"/>
  <c r="E278" i="4"/>
  <c r="D289" i="4"/>
  <c r="G292" i="4"/>
  <c r="F301" i="4"/>
  <c r="E301" i="4"/>
  <c r="D302" i="4"/>
  <c r="F306" i="4"/>
  <c r="E318" i="4"/>
  <c r="E334" i="4"/>
  <c r="E289" i="4"/>
  <c r="B294" i="4"/>
  <c r="C298" i="4"/>
  <c r="B298" i="4"/>
  <c r="B301" i="4"/>
  <c r="C315" i="4"/>
  <c r="C331" i="4"/>
  <c r="G392" i="4"/>
  <c r="F392" i="4"/>
  <c r="E392" i="4"/>
  <c r="D392" i="4"/>
  <c r="G400" i="4"/>
  <c r="F400" i="4"/>
  <c r="E400" i="4"/>
  <c r="D400" i="4"/>
  <c r="F289" i="4"/>
  <c r="C308" i="4"/>
  <c r="C324" i="4"/>
  <c r="E343" i="4"/>
  <c r="E351" i="4"/>
  <c r="E359" i="4"/>
  <c r="E367" i="4"/>
  <c r="E375" i="4"/>
  <c r="E383" i="4"/>
  <c r="C253" i="4"/>
  <c r="C261" i="4"/>
  <c r="C269" i="4"/>
  <c r="C277" i="4"/>
  <c r="C285" i="4"/>
  <c r="G289" i="4"/>
  <c r="B292" i="4"/>
  <c r="C293" i="4"/>
  <c r="D294" i="4"/>
  <c r="F295" i="4"/>
  <c r="E298" i="4"/>
  <c r="E300" i="4"/>
  <c r="D300" i="4"/>
  <c r="D301" i="4"/>
  <c r="B303" i="4"/>
  <c r="B308" i="4"/>
  <c r="D308" i="4" s="1"/>
  <c r="C311" i="4"/>
  <c r="E315" i="4"/>
  <c r="E317" i="4"/>
  <c r="C327" i="4"/>
  <c r="E331" i="4"/>
  <c r="E333" i="4"/>
  <c r="C392" i="4"/>
  <c r="C400" i="4"/>
  <c r="E286" i="4"/>
  <c r="C292" i="4"/>
  <c r="D293" i="4"/>
  <c r="E294" i="4"/>
  <c r="F298" i="4"/>
  <c r="B300" i="4"/>
  <c r="G301" i="4"/>
  <c r="C303" i="4"/>
  <c r="E308" i="4"/>
  <c r="E310" i="4"/>
  <c r="C320" i="4"/>
  <c r="E324" i="4"/>
  <c r="E326" i="4"/>
  <c r="C336" i="4"/>
  <c r="E341" i="4"/>
  <c r="C341" i="4"/>
  <c r="C343" i="4"/>
  <c r="E349" i="4"/>
  <c r="C349" i="4"/>
  <c r="C351" i="4"/>
  <c r="E357" i="4"/>
  <c r="C357" i="4"/>
  <c r="C359" i="4"/>
  <c r="E365" i="4"/>
  <c r="C365" i="4"/>
  <c r="C367" i="4"/>
  <c r="E373" i="4"/>
  <c r="C373" i="4"/>
  <c r="C375" i="4"/>
  <c r="E381" i="4"/>
  <c r="C381" i="4"/>
  <c r="C383" i="4"/>
  <c r="F406" i="4"/>
  <c r="E406" i="4"/>
  <c r="D406" i="4"/>
  <c r="C406" i="4"/>
  <c r="B406" i="4"/>
  <c r="D292" i="4"/>
  <c r="F294" i="4"/>
  <c r="G302" i="4"/>
  <c r="F302" i="4"/>
  <c r="D303" i="4"/>
  <c r="C306" i="4"/>
  <c r="B306" i="4"/>
  <c r="C323" i="4"/>
  <c r="E344" i="4"/>
  <c r="E352" i="4"/>
  <c r="E360" i="4"/>
  <c r="E368" i="4"/>
  <c r="E376" i="4"/>
  <c r="E384" i="4"/>
  <c r="F390" i="4"/>
  <c r="E390" i="4"/>
  <c r="D390" i="4"/>
  <c r="C390" i="4"/>
  <c r="B390" i="4"/>
  <c r="F398" i="4"/>
  <c r="E398" i="4"/>
  <c r="D398" i="4"/>
  <c r="C398" i="4"/>
  <c r="B398" i="4"/>
  <c r="G406" i="4"/>
  <c r="D299" i="4"/>
  <c r="C299" i="4"/>
  <c r="F300" i="4"/>
  <c r="B302" i="4"/>
  <c r="E303" i="4"/>
  <c r="D306" i="4"/>
  <c r="C316" i="4"/>
  <c r="E320" i="4"/>
  <c r="C332" i="4"/>
  <c r="E336" i="4"/>
  <c r="G390" i="4"/>
  <c r="G398" i="4"/>
  <c r="G407" i="4"/>
  <c r="F407" i="4"/>
  <c r="E407" i="4"/>
  <c r="D407" i="4"/>
  <c r="C407" i="4"/>
  <c r="G391" i="4"/>
  <c r="F391" i="4"/>
  <c r="E391" i="4"/>
  <c r="D391" i="4"/>
  <c r="C391" i="4"/>
  <c r="G399" i="4"/>
  <c r="F399" i="4"/>
  <c r="E399" i="4"/>
  <c r="D399" i="4"/>
  <c r="C399" i="4"/>
  <c r="B397" i="4"/>
  <c r="G402" i="4"/>
  <c r="B405" i="4"/>
  <c r="C389" i="4"/>
  <c r="B396" i="4"/>
  <c r="C397" i="4"/>
  <c r="B404" i="4"/>
  <c r="C405" i="4"/>
  <c r="C340" i="4"/>
  <c r="C348" i="4"/>
  <c r="C356" i="4"/>
  <c r="C364" i="4"/>
  <c r="C372" i="4"/>
  <c r="C380" i="4"/>
  <c r="C388" i="4"/>
  <c r="B395" i="4"/>
  <c r="C396" i="4"/>
  <c r="D397" i="4"/>
  <c r="B403" i="4"/>
  <c r="C404" i="4"/>
  <c r="D405" i="4"/>
  <c r="G207" i="2" l="1"/>
  <c r="F106" i="2"/>
  <c r="B107" i="2" s="1"/>
  <c r="F207" i="2"/>
  <c r="B208" i="2" s="1"/>
  <c r="D208" i="2" s="1"/>
  <c r="G208" i="2" s="1"/>
  <c r="G308" i="4"/>
  <c r="D207" i="4"/>
  <c r="G207" i="4" s="1"/>
  <c r="C18" i="4"/>
  <c r="G106" i="4"/>
  <c r="F106" i="4"/>
  <c r="B107" i="4" s="1"/>
  <c r="D18" i="4"/>
  <c r="D20" i="4"/>
  <c r="D308" i="2"/>
  <c r="G308" i="2" s="1"/>
  <c r="J4" i="2"/>
  <c r="F308" i="4"/>
  <c r="B309" i="4" s="1"/>
  <c r="D17" i="4"/>
  <c r="E15" i="2"/>
  <c r="D5" i="1"/>
  <c r="J9" i="2"/>
  <c r="C20" i="4"/>
  <c r="B17" i="4"/>
  <c r="I3" i="2"/>
  <c r="C17" i="4"/>
  <c r="D3" i="1"/>
  <c r="B20" i="4"/>
  <c r="B18" i="4"/>
  <c r="F208" i="2" l="1"/>
  <c r="B209" i="2" s="1"/>
  <c r="D209" i="2" s="1"/>
  <c r="G209" i="2" s="1"/>
  <c r="D107" i="2"/>
  <c r="G107" i="2" s="1"/>
  <c r="K3" i="2"/>
  <c r="M3" i="2"/>
  <c r="C4" i="2"/>
  <c r="D309" i="4"/>
  <c r="G309" i="4" s="1"/>
  <c r="D107" i="4"/>
  <c r="G107" i="4" s="1"/>
  <c r="F207" i="4"/>
  <c r="B208" i="4" s="1"/>
  <c r="F308" i="2"/>
  <c r="B309" i="2" s="1"/>
  <c r="F107" i="2" l="1"/>
  <c r="B108" i="2" s="1"/>
  <c r="D108" i="2" s="1"/>
  <c r="G108" i="2" s="1"/>
  <c r="F309" i="4"/>
  <c r="B310" i="4" s="1"/>
  <c r="D310" i="4" s="1"/>
  <c r="G310" i="4" s="1"/>
  <c r="F209" i="2"/>
  <c r="B210" i="2" s="1"/>
  <c r="F4" i="2"/>
  <c r="I4" i="2" s="1"/>
  <c r="D309" i="2"/>
  <c r="G309" i="2" s="1"/>
  <c r="D208" i="4"/>
  <c r="G208" i="4" s="1"/>
  <c r="F107" i="4"/>
  <c r="B108" i="4" s="1"/>
  <c r="F108" i="2" l="1"/>
  <c r="B109" i="2" s="1"/>
  <c r="D109" i="2" s="1"/>
  <c r="F208" i="4"/>
  <c r="B209" i="4" s="1"/>
  <c r="D209" i="4" s="1"/>
  <c r="G209" i="4" s="1"/>
  <c r="F310" i="4"/>
  <c r="B311" i="4" s="1"/>
  <c r="D311" i="4" s="1"/>
  <c r="G311" i="4" s="1"/>
  <c r="C5" i="2"/>
  <c r="K4" i="2"/>
  <c r="M4" i="2"/>
  <c r="D210" i="2"/>
  <c r="G210" i="2" s="1"/>
  <c r="D108" i="4"/>
  <c r="G108" i="4" s="1"/>
  <c r="F309" i="2"/>
  <c r="B310" i="2" s="1"/>
  <c r="G109" i="2" l="1"/>
  <c r="F109" i="2"/>
  <c r="B110" i="2" s="1"/>
  <c r="D110" i="2" s="1"/>
  <c r="G110" i="2" s="1"/>
  <c r="F108" i="4"/>
  <c r="B109" i="4" s="1"/>
  <c r="F210" i="2"/>
  <c r="B211" i="2" s="1"/>
  <c r="D310" i="2"/>
  <c r="G310" i="2" s="1"/>
  <c r="F311" i="4"/>
  <c r="B312" i="4" s="1"/>
  <c r="F209" i="4"/>
  <c r="B210" i="4" s="1"/>
  <c r="F5" i="2"/>
  <c r="F110" i="2" l="1"/>
  <c r="B111" i="2" s="1"/>
  <c r="D111" i="2" s="1"/>
  <c r="G111" i="2" s="1"/>
  <c r="F310" i="2"/>
  <c r="B311" i="2" s="1"/>
  <c r="D311" i="2" s="1"/>
  <c r="G311" i="2" s="1"/>
  <c r="D109" i="4"/>
  <c r="G109" i="4" s="1"/>
  <c r="D210" i="4"/>
  <c r="G210" i="4" s="1"/>
  <c r="D211" i="2"/>
  <c r="G211" i="2" s="1"/>
  <c r="I5" i="2"/>
  <c r="D312" i="4"/>
  <c r="G312" i="4" s="1"/>
  <c r="F211" i="2" l="1"/>
  <c r="B212" i="2" s="1"/>
  <c r="D212" i="2" s="1"/>
  <c r="G212" i="2" s="1"/>
  <c r="F109" i="4"/>
  <c r="B110" i="4" s="1"/>
  <c r="D110" i="4" s="1"/>
  <c r="G110" i="4" s="1"/>
  <c r="F210" i="4"/>
  <c r="B211" i="4" s="1"/>
  <c r="D211" i="4" s="1"/>
  <c r="G211" i="4" s="1"/>
  <c r="F111" i="2"/>
  <c r="B112" i="2" s="1"/>
  <c r="D112" i="2" s="1"/>
  <c r="G112" i="2" s="1"/>
  <c r="F312" i="4"/>
  <c r="B313" i="4" s="1"/>
  <c r="K5" i="2"/>
  <c r="M5" i="2"/>
  <c r="C6" i="2"/>
  <c r="F311" i="2"/>
  <c r="B312" i="2" s="1"/>
  <c r="F112" i="2" l="1"/>
  <c r="B113" i="2" s="1"/>
  <c r="D113" i="2" s="1"/>
  <c r="G113" i="2" s="1"/>
  <c r="F211" i="4"/>
  <c r="B212" i="4" s="1"/>
  <c r="D212" i="4" s="1"/>
  <c r="G212" i="4" s="1"/>
  <c r="D312" i="2"/>
  <c r="G312" i="2" s="1"/>
  <c r="F6" i="2"/>
  <c r="I6" i="2" s="1"/>
  <c r="F110" i="4"/>
  <c r="B111" i="4" s="1"/>
  <c r="F212" i="2"/>
  <c r="B213" i="2" s="1"/>
  <c r="D313" i="4"/>
  <c r="G313" i="4" s="1"/>
  <c r="D213" i="2" l="1"/>
  <c r="G213" i="2" s="1"/>
  <c r="F313" i="4"/>
  <c r="B314" i="4" s="1"/>
  <c r="F212" i="4"/>
  <c r="B213" i="4" s="1"/>
  <c r="D111" i="4"/>
  <c r="G111" i="4" s="1"/>
  <c r="M6" i="2"/>
  <c r="C7" i="2"/>
  <c r="K6" i="2"/>
  <c r="F113" i="2"/>
  <c r="B114" i="2" s="1"/>
  <c r="F312" i="2"/>
  <c r="B313" i="2" s="1"/>
  <c r="F213" i="2" l="1"/>
  <c r="B214" i="2" s="1"/>
  <c r="D214" i="2" s="1"/>
  <c r="G214" i="2" s="1"/>
  <c r="F111" i="4"/>
  <c r="B112" i="4" s="1"/>
  <c r="D112" i="4" s="1"/>
  <c r="D313" i="2"/>
  <c r="G313" i="2" s="1"/>
  <c r="D114" i="2"/>
  <c r="G114" i="2" s="1"/>
  <c r="F7" i="2"/>
  <c r="I7" i="2" s="1"/>
  <c r="D213" i="4"/>
  <c r="G213" i="4" s="1"/>
  <c r="D314" i="4"/>
  <c r="G314" i="4" s="1"/>
  <c r="F213" i="4" l="1"/>
  <c r="B214" i="4" s="1"/>
  <c r="D214" i="4" s="1"/>
  <c r="G214" i="4" s="1"/>
  <c r="F314" i="4"/>
  <c r="B315" i="4" s="1"/>
  <c r="D315" i="4" s="1"/>
  <c r="G315" i="4" s="1"/>
  <c r="G112" i="4"/>
  <c r="F112" i="4"/>
  <c r="B113" i="4" s="1"/>
  <c r="D113" i="4" s="1"/>
  <c r="G113" i="4" s="1"/>
  <c r="F114" i="2"/>
  <c r="B115" i="2" s="1"/>
  <c r="C8" i="2"/>
  <c r="K7" i="2"/>
  <c r="M7" i="2"/>
  <c r="F214" i="2"/>
  <c r="B215" i="2" s="1"/>
  <c r="F313" i="2"/>
  <c r="B314" i="2" s="1"/>
  <c r="F113" i="4" l="1"/>
  <c r="B114" i="4" s="1"/>
  <c r="D114" i="4" s="1"/>
  <c r="G114" i="4" s="1"/>
  <c r="D115" i="2"/>
  <c r="G115" i="2" s="1"/>
  <c r="F315" i="4"/>
  <c r="B316" i="4" s="1"/>
  <c r="D215" i="2"/>
  <c r="G215" i="2" s="1"/>
  <c r="D314" i="2"/>
  <c r="G314" i="2" s="1"/>
  <c r="F214" i="4"/>
  <c r="B215" i="4" s="1"/>
  <c r="F8" i="2"/>
  <c r="I8" i="2" s="1"/>
  <c r="F314" i="2" l="1"/>
  <c r="B315" i="2" s="1"/>
  <c r="D315" i="2" s="1"/>
  <c r="G315" i="2" s="1"/>
  <c r="F115" i="2"/>
  <c r="B116" i="2" s="1"/>
  <c r="D116" i="2" s="1"/>
  <c r="G116" i="2" s="1"/>
  <c r="M8" i="2"/>
  <c r="K8" i="2"/>
  <c r="C9" i="2"/>
  <c r="D316" i="4"/>
  <c r="G316" i="4" s="1"/>
  <c r="D215" i="4"/>
  <c r="G215" i="4" s="1"/>
  <c r="F215" i="2"/>
  <c r="B216" i="2" s="1"/>
  <c r="F114" i="4"/>
  <c r="B115" i="4" s="1"/>
  <c r="F215" i="4" l="1"/>
  <c r="B216" i="4" s="1"/>
  <c r="D216" i="4" s="1"/>
  <c r="G216" i="4" s="1"/>
  <c r="F116" i="2"/>
  <c r="B117" i="2" s="1"/>
  <c r="D117" i="2" s="1"/>
  <c r="G117" i="2" s="1"/>
  <c r="F315" i="2"/>
  <c r="B316" i="2" s="1"/>
  <c r="D115" i="4"/>
  <c r="G115" i="4" s="1"/>
  <c r="D216" i="2"/>
  <c r="G216" i="2" s="1"/>
  <c r="F316" i="4"/>
  <c r="B317" i="4" s="1"/>
  <c r="F9" i="2"/>
  <c r="I9" i="2" s="1"/>
  <c r="F216" i="4" l="1"/>
  <c r="B217" i="4" s="1"/>
  <c r="D217" i="4" s="1"/>
  <c r="G217" i="4" s="1"/>
  <c r="F115" i="4"/>
  <c r="B116" i="4" s="1"/>
  <c r="D116" i="4" s="1"/>
  <c r="G116" i="4" s="1"/>
  <c r="C10" i="2"/>
  <c r="K9" i="2"/>
  <c r="M9" i="2"/>
  <c r="F216" i="2"/>
  <c r="B217" i="2" s="1"/>
  <c r="D317" i="4"/>
  <c r="G317" i="4" s="1"/>
  <c r="F117" i="2"/>
  <c r="B118" i="2" s="1"/>
  <c r="D316" i="2"/>
  <c r="G316" i="2" s="1"/>
  <c r="F316" i="2" l="1"/>
  <c r="B317" i="2" s="1"/>
  <c r="D317" i="2" s="1"/>
  <c r="G317" i="2" s="1"/>
  <c r="F217" i="4"/>
  <c r="B218" i="4" s="1"/>
  <c r="F317" i="4"/>
  <c r="B318" i="4" s="1"/>
  <c r="D318" i="4" s="1"/>
  <c r="G318" i="4" s="1"/>
  <c r="F10" i="2"/>
  <c r="I10" i="2" s="1"/>
  <c r="D217" i="2"/>
  <c r="G217" i="2" s="1"/>
  <c r="F116" i="4"/>
  <c r="B117" i="4" s="1"/>
  <c r="D118" i="2"/>
  <c r="G118" i="2" s="1"/>
  <c r="D218" i="4"/>
  <c r="G218" i="4" s="1"/>
  <c r="F317" i="2" l="1"/>
  <c r="B318" i="2" s="1"/>
  <c r="D318" i="2" s="1"/>
  <c r="G318" i="2" s="1"/>
  <c r="F318" i="4"/>
  <c r="B319" i="4" s="1"/>
  <c r="D319" i="4" s="1"/>
  <c r="G319" i="4" s="1"/>
  <c r="F218" i="4"/>
  <c r="B219" i="4" s="1"/>
  <c r="F118" i="2"/>
  <c r="B119" i="2" s="1"/>
  <c r="D117" i="4"/>
  <c r="G117" i="4" s="1"/>
  <c r="F217" i="2"/>
  <c r="B218" i="2" s="1"/>
  <c r="K10" i="2"/>
  <c r="M10" i="2"/>
  <c r="C11" i="2"/>
  <c r="D218" i="2" l="1"/>
  <c r="G218" i="2" s="1"/>
  <c r="F117" i="4"/>
  <c r="B118" i="4" s="1"/>
  <c r="F11" i="2"/>
  <c r="I11" i="2" s="1"/>
  <c r="D119" i="2"/>
  <c r="G119" i="2" s="1"/>
  <c r="D219" i="4"/>
  <c r="G219" i="4" s="1"/>
  <c r="F318" i="2"/>
  <c r="B319" i="2" s="1"/>
  <c r="F319" i="4"/>
  <c r="B320" i="4" s="1"/>
  <c r="F218" i="2" l="1"/>
  <c r="B219" i="2" s="1"/>
  <c r="D219" i="2" s="1"/>
  <c r="G219" i="2" s="1"/>
  <c r="F219" i="4"/>
  <c r="B220" i="4" s="1"/>
  <c r="D220" i="4" s="1"/>
  <c r="G220" i="4" s="1"/>
  <c r="D118" i="4"/>
  <c r="G118" i="4" s="1"/>
  <c r="D320" i="4"/>
  <c r="G320" i="4" s="1"/>
  <c r="F119" i="2"/>
  <c r="B120" i="2" s="1"/>
  <c r="C12" i="2"/>
  <c r="K11" i="2"/>
  <c r="M11" i="2"/>
  <c r="D319" i="2"/>
  <c r="G319" i="2" s="1"/>
  <c r="F118" i="4" l="1"/>
  <c r="B119" i="4" s="1"/>
  <c r="D119" i="4" s="1"/>
  <c r="G119" i="4" s="1"/>
  <c r="F219" i="2"/>
  <c r="B220" i="2" s="1"/>
  <c r="D120" i="2"/>
  <c r="G120" i="2" s="1"/>
  <c r="F320" i="4"/>
  <c r="B321" i="4" s="1"/>
  <c r="F220" i="4"/>
  <c r="B221" i="4" s="1"/>
  <c r="F319" i="2"/>
  <c r="B320" i="2" s="1"/>
  <c r="F12" i="2"/>
  <c r="I12" i="2" s="1"/>
  <c r="D221" i="4" l="1"/>
  <c r="G221" i="4" s="1"/>
  <c r="D320" i="2"/>
  <c r="G320" i="2" s="1"/>
  <c r="F120" i="2"/>
  <c r="B121" i="2" s="1"/>
  <c r="K12" i="2"/>
  <c r="M12" i="2"/>
  <c r="C13" i="2"/>
  <c r="D321" i="4"/>
  <c r="G321" i="4" s="1"/>
  <c r="D220" i="2"/>
  <c r="G220" i="2" s="1"/>
  <c r="F119" i="4"/>
  <c r="B120" i="4" s="1"/>
  <c r="F220" i="2" l="1"/>
  <c r="B221" i="2" s="1"/>
  <c r="D221" i="2" s="1"/>
  <c r="G221" i="2" s="1"/>
  <c r="F321" i="4"/>
  <c r="B322" i="4" s="1"/>
  <c r="D322" i="4" s="1"/>
  <c r="G322" i="4" s="1"/>
  <c r="F221" i="4"/>
  <c r="B222" i="4" s="1"/>
  <c r="D222" i="4" s="1"/>
  <c r="G222" i="4" s="1"/>
  <c r="F13" i="2"/>
  <c r="I13" i="2" s="1"/>
  <c r="D121" i="2"/>
  <c r="G121" i="2" s="1"/>
  <c r="D120" i="4"/>
  <c r="G120" i="4" s="1"/>
  <c r="F320" i="2"/>
  <c r="B321" i="2" s="1"/>
  <c r="F222" i="4" l="1"/>
  <c r="B223" i="4" s="1"/>
  <c r="D223" i="4" s="1"/>
  <c r="G223" i="4" s="1"/>
  <c r="F121" i="2"/>
  <c r="B122" i="2" s="1"/>
  <c r="D122" i="2" s="1"/>
  <c r="G122" i="2" s="1"/>
  <c r="F120" i="4"/>
  <c r="B121" i="4" s="1"/>
  <c r="D121" i="4" s="1"/>
  <c r="G121" i="4" s="1"/>
  <c r="D321" i="2"/>
  <c r="G321" i="2" s="1"/>
  <c r="F322" i="4"/>
  <c r="B323" i="4" s="1"/>
  <c r="F221" i="2"/>
  <c r="B222" i="2" s="1"/>
  <c r="C14" i="2"/>
  <c r="M13" i="2"/>
  <c r="K13" i="2"/>
  <c r="D323" i="4" l="1"/>
  <c r="G323" i="4" s="1"/>
  <c r="F122" i="2"/>
  <c r="B123" i="2" s="1"/>
  <c r="D222" i="2"/>
  <c r="G222" i="2" s="1"/>
  <c r="F14" i="2"/>
  <c r="I14" i="2" s="1"/>
  <c r="F121" i="4"/>
  <c r="B122" i="4" s="1"/>
  <c r="F223" i="4"/>
  <c r="B224" i="4" s="1"/>
  <c r="F321" i="2"/>
  <c r="B322" i="2" s="1"/>
  <c r="F222" i="2" l="1"/>
  <c r="B223" i="2" s="1"/>
  <c r="D223" i="2" s="1"/>
  <c r="G223" i="2" s="1"/>
  <c r="D122" i="4"/>
  <c r="G122" i="4" s="1"/>
  <c r="D123" i="2"/>
  <c r="G123" i="2" s="1"/>
  <c r="D322" i="2"/>
  <c r="G322" i="2" s="1"/>
  <c r="F323" i="4"/>
  <c r="B324" i="4" s="1"/>
  <c r="K14" i="2"/>
  <c r="M14" i="2"/>
  <c r="C15" i="2"/>
  <c r="D224" i="4"/>
  <c r="G224" i="4" s="1"/>
  <c r="F123" i="2" l="1"/>
  <c r="B124" i="2" s="1"/>
  <c r="D124" i="2" s="1"/>
  <c r="G124" i="2" s="1"/>
  <c r="F322" i="2"/>
  <c r="B323" i="2" s="1"/>
  <c r="F15" i="2"/>
  <c r="I15" i="2" s="1"/>
  <c r="F224" i="4"/>
  <c r="B225" i="4" s="1"/>
  <c r="F122" i="4"/>
  <c r="B123" i="4" s="1"/>
  <c r="D324" i="4"/>
  <c r="G324" i="4" s="1"/>
  <c r="F223" i="2"/>
  <c r="B224" i="2" s="1"/>
  <c r="F324" i="4" l="1"/>
  <c r="B325" i="4" s="1"/>
  <c r="C16" i="2"/>
  <c r="K15" i="2"/>
  <c r="M15" i="2"/>
  <c r="D123" i="4"/>
  <c r="G123" i="4" s="1"/>
  <c r="D224" i="2"/>
  <c r="G224" i="2" s="1"/>
  <c r="F124" i="2"/>
  <c r="B125" i="2" s="1"/>
  <c r="D325" i="4"/>
  <c r="G325" i="4" s="1"/>
  <c r="D225" i="4"/>
  <c r="G225" i="4" s="1"/>
  <c r="D323" i="2"/>
  <c r="G323" i="2" s="1"/>
  <c r="F323" i="2" l="1"/>
  <c r="B324" i="2" s="1"/>
  <c r="D324" i="2" s="1"/>
  <c r="G324" i="2" s="1"/>
  <c r="F325" i="4"/>
  <c r="B326" i="4" s="1"/>
  <c r="D326" i="4" s="1"/>
  <c r="G326" i="4" s="1"/>
  <c r="F224" i="2"/>
  <c r="B225" i="2" s="1"/>
  <c r="D225" i="2" s="1"/>
  <c r="G225" i="2" s="1"/>
  <c r="D125" i="2"/>
  <c r="G125" i="2" s="1"/>
  <c r="F123" i="4"/>
  <c r="B124" i="4" s="1"/>
  <c r="F225" i="4"/>
  <c r="B226" i="4" s="1"/>
  <c r="F16" i="2"/>
  <c r="I16" i="2" s="1"/>
  <c r="F326" i="4" l="1"/>
  <c r="B327" i="4" s="1"/>
  <c r="D327" i="4" s="1"/>
  <c r="G327" i="4" s="1"/>
  <c r="F225" i="2"/>
  <c r="B226" i="2" s="1"/>
  <c r="C17" i="2"/>
  <c r="M16" i="2"/>
  <c r="K16" i="2"/>
  <c r="D226" i="4"/>
  <c r="G226" i="4" s="1"/>
  <c r="F324" i="2"/>
  <c r="B325" i="2" s="1"/>
  <c r="F125" i="2"/>
  <c r="B126" i="2" s="1"/>
  <c r="D124" i="4"/>
  <c r="G124" i="4" s="1"/>
  <c r="F124" i="4" l="1"/>
  <c r="B125" i="4" s="1"/>
  <c r="D125" i="4" s="1"/>
  <c r="G125" i="4" s="1"/>
  <c r="F226" i="4"/>
  <c r="B227" i="4" s="1"/>
  <c r="D227" i="4" s="1"/>
  <c r="G227" i="4" s="1"/>
  <c r="D226" i="2"/>
  <c r="G226" i="2" s="1"/>
  <c r="F17" i="2"/>
  <c r="I17" i="2" s="1"/>
  <c r="D126" i="2"/>
  <c r="G126" i="2" s="1"/>
  <c r="F327" i="4"/>
  <c r="B328" i="4" s="1"/>
  <c r="D325" i="2"/>
  <c r="G325" i="2" s="1"/>
  <c r="F226" i="2" l="1"/>
  <c r="B227" i="2" s="1"/>
  <c r="F227" i="4"/>
  <c r="B228" i="4" s="1"/>
  <c r="D328" i="4"/>
  <c r="G328" i="4" s="1"/>
  <c r="F125" i="4"/>
  <c r="B126" i="4" s="1"/>
  <c r="F325" i="2"/>
  <c r="B326" i="2" s="1"/>
  <c r="D228" i="4"/>
  <c r="G228" i="4" s="1"/>
  <c r="M17" i="2"/>
  <c r="K17" i="2"/>
  <c r="C18" i="2"/>
  <c r="F126" i="2"/>
  <c r="B127" i="2" s="1"/>
  <c r="D227" i="2" l="1"/>
  <c r="G227" i="2" s="1"/>
  <c r="F228" i="4"/>
  <c r="B229" i="4" s="1"/>
  <c r="D229" i="4" s="1"/>
  <c r="G229" i="4" s="1"/>
  <c r="D326" i="2"/>
  <c r="G326" i="2" s="1"/>
  <c r="D126" i="4"/>
  <c r="G126" i="4" s="1"/>
  <c r="F18" i="2"/>
  <c r="I18" i="2" s="1"/>
  <c r="D127" i="2"/>
  <c r="G127" i="2" s="1"/>
  <c r="F328" i="4"/>
  <c r="B329" i="4" s="1"/>
  <c r="F227" i="2" l="1"/>
  <c r="B228" i="2" s="1"/>
  <c r="D228" i="2" s="1"/>
  <c r="G228" i="2" s="1"/>
  <c r="F126" i="4"/>
  <c r="B127" i="4" s="1"/>
  <c r="D127" i="4" s="1"/>
  <c r="G127" i="4" s="1"/>
  <c r="C19" i="2"/>
  <c r="K18" i="2"/>
  <c r="M18" i="2"/>
  <c r="D329" i="4"/>
  <c r="G329" i="4" s="1"/>
  <c r="F127" i="2"/>
  <c r="B128" i="2" s="1"/>
  <c r="F326" i="2"/>
  <c r="B327" i="2" s="1"/>
  <c r="F229" i="4"/>
  <c r="B230" i="4" s="1"/>
  <c r="F228" i="2" l="1"/>
  <c r="B229" i="2" s="1"/>
  <c r="D229" i="2" s="1"/>
  <c r="G229" i="2" s="1"/>
  <c r="F127" i="4"/>
  <c r="B128" i="4" s="1"/>
  <c r="D128" i="4" s="1"/>
  <c r="G128" i="4" s="1"/>
  <c r="D128" i="2"/>
  <c r="G128" i="2" s="1"/>
  <c r="D230" i="4"/>
  <c r="G230" i="4" s="1"/>
  <c r="F329" i="4"/>
  <c r="B330" i="4" s="1"/>
  <c r="D327" i="2"/>
  <c r="G327" i="2" s="1"/>
  <c r="F19" i="2"/>
  <c r="I19" i="2" s="1"/>
  <c r="F128" i="4" l="1"/>
  <c r="B129" i="4" s="1"/>
  <c r="D129" i="4" s="1"/>
  <c r="G129" i="4" s="1"/>
  <c r="F128" i="2"/>
  <c r="B129" i="2" s="1"/>
  <c r="D129" i="2" s="1"/>
  <c r="G129" i="2" s="1"/>
  <c r="F230" i="4"/>
  <c r="B231" i="4" s="1"/>
  <c r="D231" i="4" s="1"/>
  <c r="G231" i="4" s="1"/>
  <c r="F229" i="2"/>
  <c r="B230" i="2" s="1"/>
  <c r="K19" i="2"/>
  <c r="M19" i="2"/>
  <c r="C20" i="2"/>
  <c r="F327" i="2"/>
  <c r="B328" i="2" s="1"/>
  <c r="D330" i="4"/>
  <c r="G330" i="4" s="1"/>
  <c r="F330" i="4"/>
  <c r="B331" i="4" s="1"/>
  <c r="F129" i="2" l="1"/>
  <c r="B130" i="2" s="1"/>
  <c r="D130" i="2" s="1"/>
  <c r="G130" i="2" s="1"/>
  <c r="D331" i="4"/>
  <c r="G331" i="4" s="1"/>
  <c r="D230" i="2"/>
  <c r="G230" i="2" s="1"/>
  <c r="F20" i="2"/>
  <c r="I20" i="2" s="1"/>
  <c r="F129" i="4"/>
  <c r="B130" i="4" s="1"/>
  <c r="D328" i="2"/>
  <c r="G328" i="2" s="1"/>
  <c r="F231" i="4"/>
  <c r="B232" i="4" s="1"/>
  <c r="F328" i="2" l="1"/>
  <c r="B329" i="2" s="1"/>
  <c r="D329" i="2" s="1"/>
  <c r="G329" i="2" s="1"/>
  <c r="C21" i="2"/>
  <c r="M20" i="2"/>
  <c r="K20" i="2"/>
  <c r="F230" i="2"/>
  <c r="B231" i="2" s="1"/>
  <c r="D232" i="4"/>
  <c r="G232" i="4" s="1"/>
  <c r="F331" i="4"/>
  <c r="B332" i="4" s="1"/>
  <c r="D130" i="4"/>
  <c r="G130" i="4" s="1"/>
  <c r="F130" i="2"/>
  <c r="B131" i="2" s="1"/>
  <c r="F329" i="2" l="1"/>
  <c r="B330" i="2" s="1"/>
  <c r="D330" i="2" s="1"/>
  <c r="G330" i="2" s="1"/>
  <c r="D131" i="2"/>
  <c r="G131" i="2" s="1"/>
  <c r="D332" i="4"/>
  <c r="G332" i="4" s="1"/>
  <c r="D231" i="2"/>
  <c r="G231" i="2" s="1"/>
  <c r="F130" i="4"/>
  <c r="B131" i="4" s="1"/>
  <c r="F232" i="4"/>
  <c r="B233" i="4" s="1"/>
  <c r="F21" i="2"/>
  <c r="I21" i="2" s="1"/>
  <c r="K21" i="2" l="1"/>
  <c r="M21" i="2"/>
  <c r="C22" i="2"/>
  <c r="F231" i="2"/>
  <c r="B232" i="2" s="1"/>
  <c r="F131" i="2"/>
  <c r="B132" i="2" s="1"/>
  <c r="F332" i="4"/>
  <c r="B333" i="4" s="1"/>
  <c r="D233" i="4"/>
  <c r="G233" i="4" s="1"/>
  <c r="D131" i="4"/>
  <c r="G131" i="4" s="1"/>
  <c r="F330" i="2"/>
  <c r="B331" i="2" s="1"/>
  <c r="F131" i="4" l="1"/>
  <c r="B132" i="4" s="1"/>
  <c r="D132" i="4" s="1"/>
  <c r="G132" i="4" s="1"/>
  <c r="F233" i="4"/>
  <c r="B234" i="4" s="1"/>
  <c r="D234" i="4" s="1"/>
  <c r="G234" i="4" s="1"/>
  <c r="D331" i="2"/>
  <c r="G331" i="2" s="1"/>
  <c r="D132" i="2"/>
  <c r="G132" i="2" s="1"/>
  <c r="D333" i="4"/>
  <c r="G333" i="4" s="1"/>
  <c r="D232" i="2"/>
  <c r="G232" i="2" s="1"/>
  <c r="F22" i="2"/>
  <c r="I22" i="2" s="1"/>
  <c r="F333" i="4" l="1"/>
  <c r="B334" i="4" s="1"/>
  <c r="D334" i="4" s="1"/>
  <c r="G334" i="4" s="1"/>
  <c r="F232" i="2"/>
  <c r="B233" i="2" s="1"/>
  <c r="D233" i="2" s="1"/>
  <c r="G233" i="2" s="1"/>
  <c r="C23" i="2"/>
  <c r="K22" i="2"/>
  <c r="M22" i="2"/>
  <c r="F132" i="2"/>
  <c r="B133" i="2" s="1"/>
  <c r="F132" i="4"/>
  <c r="B133" i="4" s="1"/>
  <c r="F331" i="2"/>
  <c r="B332" i="2" s="1"/>
  <c r="F234" i="4"/>
  <c r="B235" i="4" s="1"/>
  <c r="F233" i="2" l="1"/>
  <c r="B234" i="2" s="1"/>
  <c r="D234" i="2" s="1"/>
  <c r="G234" i="2" s="1"/>
  <c r="F334" i="4"/>
  <c r="B335" i="4" s="1"/>
  <c r="D335" i="4" s="1"/>
  <c r="G335" i="4" s="1"/>
  <c r="D235" i="4"/>
  <c r="G235" i="4" s="1"/>
  <c r="D332" i="2"/>
  <c r="G332" i="2" s="1"/>
  <c r="D133" i="2"/>
  <c r="G133" i="2" s="1"/>
  <c r="D133" i="4"/>
  <c r="G133" i="4" s="1"/>
  <c r="F23" i="2"/>
  <c r="I23" i="2" s="1"/>
  <c r="F133" i="2" l="1"/>
  <c r="B134" i="2" s="1"/>
  <c r="D134" i="2" s="1"/>
  <c r="G134" i="2" s="1"/>
  <c r="F335" i="4"/>
  <c r="B336" i="4" s="1"/>
  <c r="D336" i="4" s="1"/>
  <c r="G336" i="4" s="1"/>
  <c r="F234" i="2"/>
  <c r="B235" i="2" s="1"/>
  <c r="K23" i="2"/>
  <c r="M23" i="2"/>
  <c r="C24" i="2"/>
  <c r="F332" i="2"/>
  <c r="B333" i="2" s="1"/>
  <c r="F133" i="4"/>
  <c r="B134" i="4" s="1"/>
  <c r="F235" i="4"/>
  <c r="B236" i="4" s="1"/>
  <c r="F134" i="2" l="1"/>
  <c r="B135" i="2" s="1"/>
  <c r="D135" i="2" s="1"/>
  <c r="G135" i="2" s="1"/>
  <c r="F336" i="4"/>
  <c r="B337" i="4" s="1"/>
  <c r="D333" i="2"/>
  <c r="G333" i="2" s="1"/>
  <c r="F24" i="2"/>
  <c r="I24" i="2" s="1"/>
  <c r="D134" i="4"/>
  <c r="G134" i="4" s="1"/>
  <c r="D236" i="4"/>
  <c r="G236" i="4" s="1"/>
  <c r="D235" i="2"/>
  <c r="G235" i="2" s="1"/>
  <c r="F333" i="2" l="1"/>
  <c r="B334" i="2" s="1"/>
  <c r="D334" i="2" s="1"/>
  <c r="G334" i="2" s="1"/>
  <c r="C25" i="2"/>
  <c r="M24" i="2"/>
  <c r="K24" i="2"/>
  <c r="F236" i="4"/>
  <c r="B237" i="4" s="1"/>
  <c r="F134" i="4"/>
  <c r="B135" i="4" s="1"/>
  <c r="F235" i="2"/>
  <c r="B236" i="2" s="1"/>
  <c r="F135" i="2"/>
  <c r="B136" i="2" s="1"/>
  <c r="D337" i="4"/>
  <c r="G337" i="4" s="1"/>
  <c r="F334" i="2" l="1"/>
  <c r="B335" i="2" s="1"/>
  <c r="D335" i="2" s="1"/>
  <c r="G335" i="2" s="1"/>
  <c r="D236" i="2"/>
  <c r="G236" i="2" s="1"/>
  <c r="D237" i="4"/>
  <c r="G237" i="4" s="1"/>
  <c r="D135" i="4"/>
  <c r="G135" i="4" s="1"/>
  <c r="F337" i="4"/>
  <c r="B338" i="4" s="1"/>
  <c r="D136" i="2"/>
  <c r="G136" i="2" s="1"/>
  <c r="F25" i="2"/>
  <c r="I25" i="2" s="1"/>
  <c r="F236" i="2" l="1"/>
  <c r="B237" i="2" s="1"/>
  <c r="D237" i="2" s="1"/>
  <c r="G237" i="2" s="1"/>
  <c r="F335" i="2"/>
  <c r="B336" i="2" s="1"/>
  <c r="M25" i="2"/>
  <c r="K25" i="2"/>
  <c r="C26" i="2"/>
  <c r="F135" i="4"/>
  <c r="B136" i="4" s="1"/>
  <c r="F136" i="2"/>
  <c r="B137" i="2" s="1"/>
  <c r="F237" i="4"/>
  <c r="B238" i="4" s="1"/>
  <c r="D338" i="4"/>
  <c r="G338" i="4" s="1"/>
  <c r="F237" i="2" l="1"/>
  <c r="B238" i="2" s="1"/>
  <c r="D137" i="2"/>
  <c r="G137" i="2" s="1"/>
  <c r="F26" i="2"/>
  <c r="I26" i="2" s="1"/>
  <c r="F338" i="4"/>
  <c r="B339" i="4" s="1"/>
  <c r="D136" i="4"/>
  <c r="G136" i="4" s="1"/>
  <c r="D238" i="4"/>
  <c r="G238" i="4" s="1"/>
  <c r="D336" i="2"/>
  <c r="G336" i="2" s="1"/>
  <c r="F238" i="4" l="1"/>
  <c r="B239" i="4" s="1"/>
  <c r="D239" i="4" s="1"/>
  <c r="G239" i="4" s="1"/>
  <c r="F137" i="2"/>
  <c r="B138" i="2" s="1"/>
  <c r="D138" i="2" s="1"/>
  <c r="G138" i="2" s="1"/>
  <c r="D339" i="4"/>
  <c r="G339" i="4" s="1"/>
  <c r="F136" i="4"/>
  <c r="B137" i="4" s="1"/>
  <c r="D238" i="2"/>
  <c r="G238" i="2" s="1"/>
  <c r="C27" i="2"/>
  <c r="M26" i="2"/>
  <c r="K26" i="2"/>
  <c r="F336" i="2"/>
  <c r="B337" i="2" s="1"/>
  <c r="D337" i="2" l="1"/>
  <c r="G337" i="2" s="1"/>
  <c r="F339" i="4"/>
  <c r="B340" i="4" s="1"/>
  <c r="D137" i="4"/>
  <c r="G137" i="4" s="1"/>
  <c r="F138" i="2"/>
  <c r="B139" i="2" s="1"/>
  <c r="F27" i="2"/>
  <c r="I27" i="2" s="1"/>
  <c r="F238" i="2"/>
  <c r="B239" i="2" s="1"/>
  <c r="F239" i="4"/>
  <c r="B240" i="4" s="1"/>
  <c r="F137" i="4" l="1"/>
  <c r="B138" i="4" s="1"/>
  <c r="D138" i="4" s="1"/>
  <c r="G138" i="4" s="1"/>
  <c r="F337" i="2"/>
  <c r="B338" i="2" s="1"/>
  <c r="D338" i="2" s="1"/>
  <c r="G338" i="2" s="1"/>
  <c r="M27" i="2"/>
  <c r="C28" i="2"/>
  <c r="K27" i="2"/>
  <c r="D340" i="4"/>
  <c r="G340" i="4" s="1"/>
  <c r="D139" i="2"/>
  <c r="G139" i="2" s="1"/>
  <c r="D240" i="4"/>
  <c r="G240" i="4" s="1"/>
  <c r="D239" i="2"/>
  <c r="G239" i="2" s="1"/>
  <c r="F240" i="4" l="1"/>
  <c r="B241" i="4" s="1"/>
  <c r="D241" i="4" s="1"/>
  <c r="G241" i="4" s="1"/>
  <c r="F338" i="2"/>
  <c r="B339" i="2" s="1"/>
  <c r="F139" i="2"/>
  <c r="B140" i="2" s="1"/>
  <c r="F239" i="2"/>
  <c r="B240" i="2" s="1"/>
  <c r="F340" i="4"/>
  <c r="B341" i="4" s="1"/>
  <c r="F138" i="4"/>
  <c r="B139" i="4" s="1"/>
  <c r="F28" i="2"/>
  <c r="I28" i="2" s="1"/>
  <c r="F241" i="4" l="1"/>
  <c r="B242" i="4" s="1"/>
  <c r="D242" i="4" s="1"/>
  <c r="G242" i="4" s="1"/>
  <c r="C29" i="2"/>
  <c r="M28" i="2"/>
  <c r="K28" i="2"/>
  <c r="D139" i="4"/>
  <c r="G139" i="4" s="1"/>
  <c r="D240" i="2"/>
  <c r="G240" i="2" s="1"/>
  <c r="D140" i="2"/>
  <c r="G140" i="2" s="1"/>
  <c r="D341" i="4"/>
  <c r="G341" i="4" s="1"/>
  <c r="D339" i="2"/>
  <c r="G339" i="2" s="1"/>
  <c r="F240" i="2" l="1"/>
  <c r="B241" i="2" s="1"/>
  <c r="D241" i="2" s="1"/>
  <c r="G241" i="2" s="1"/>
  <c r="F339" i="2"/>
  <c r="B340" i="2" s="1"/>
  <c r="F139" i="4"/>
  <c r="B140" i="4" s="1"/>
  <c r="F341" i="4"/>
  <c r="B342" i="4" s="1"/>
  <c r="F242" i="4"/>
  <c r="B243" i="4" s="1"/>
  <c r="F140" i="2"/>
  <c r="B141" i="2" s="1"/>
  <c r="F29" i="2"/>
  <c r="I29" i="2" s="1"/>
  <c r="C30" i="2" l="1"/>
  <c r="M29" i="2"/>
  <c r="K29" i="2"/>
  <c r="D141" i="2"/>
  <c r="G141" i="2" s="1"/>
  <c r="D140" i="4"/>
  <c r="G140" i="4" s="1"/>
  <c r="D243" i="4"/>
  <c r="G243" i="4" s="1"/>
  <c r="D342" i="4"/>
  <c r="G342" i="4" s="1"/>
  <c r="D340" i="2"/>
  <c r="G340" i="2" s="1"/>
  <c r="F241" i="2"/>
  <c r="B242" i="2" s="1"/>
  <c r="F140" i="4" l="1"/>
  <c r="B141" i="4" s="1"/>
  <c r="D141" i="4" s="1"/>
  <c r="G141" i="4" s="1"/>
  <c r="F243" i="4"/>
  <c r="B244" i="4" s="1"/>
  <c r="D242" i="2"/>
  <c r="G242" i="2" s="1"/>
  <c r="D244" i="4"/>
  <c r="G244" i="4" s="1"/>
  <c r="F244" i="4"/>
  <c r="B245" i="4" s="1"/>
  <c r="F141" i="2"/>
  <c r="B142" i="2" s="1"/>
  <c r="F340" i="2"/>
  <c r="B341" i="2" s="1"/>
  <c r="F342" i="4"/>
  <c r="B343" i="4" s="1"/>
  <c r="F30" i="2"/>
  <c r="I30" i="2" s="1"/>
  <c r="F141" i="4" l="1"/>
  <c r="B142" i="4" s="1"/>
  <c r="D142" i="4" s="1"/>
  <c r="G142" i="4" s="1"/>
  <c r="D245" i="4"/>
  <c r="G245" i="4" s="1"/>
  <c r="F245" i="4"/>
  <c r="B246" i="4" s="1"/>
  <c r="M30" i="2"/>
  <c r="C31" i="2"/>
  <c r="K30" i="2"/>
  <c r="D142" i="2"/>
  <c r="G142" i="2" s="1"/>
  <c r="D341" i="2"/>
  <c r="G341" i="2" s="1"/>
  <c r="D343" i="4"/>
  <c r="G343" i="4" s="1"/>
  <c r="F242" i="2"/>
  <c r="B243" i="2" s="1"/>
  <c r="F142" i="2" l="1"/>
  <c r="B143" i="2" s="1"/>
  <c r="F142" i="4"/>
  <c r="B143" i="4" s="1"/>
  <c r="D143" i="2"/>
  <c r="G143" i="2" s="1"/>
  <c r="F143" i="2"/>
  <c r="B144" i="2" s="1"/>
  <c r="D243" i="2"/>
  <c r="G243" i="2" s="1"/>
  <c r="D143" i="4"/>
  <c r="G143" i="4" s="1"/>
  <c r="D246" i="4"/>
  <c r="G246" i="4" s="1"/>
  <c r="F246" i="4"/>
  <c r="B247" i="4" s="1"/>
  <c r="F343" i="4"/>
  <c r="B344" i="4" s="1"/>
  <c r="F31" i="2"/>
  <c r="I31" i="2" s="1"/>
  <c r="F341" i="2"/>
  <c r="B342" i="2" s="1"/>
  <c r="F143" i="4" l="1"/>
  <c r="B144" i="4" s="1"/>
  <c r="D144" i="4"/>
  <c r="G144" i="4" s="1"/>
  <c r="F144" i="4"/>
  <c r="B145" i="4" s="1"/>
  <c r="D247" i="4"/>
  <c r="G247" i="4" s="1"/>
  <c r="D342" i="2"/>
  <c r="G342" i="2" s="1"/>
  <c r="F243" i="2"/>
  <c r="B244" i="2" s="1"/>
  <c r="K31" i="2"/>
  <c r="M31" i="2"/>
  <c r="C32" i="2"/>
  <c r="D144" i="2"/>
  <c r="G144" i="2" s="1"/>
  <c r="D344" i="4"/>
  <c r="G344" i="4" s="1"/>
  <c r="F342" i="2" l="1"/>
  <c r="B343" i="2" s="1"/>
  <c r="D343" i="2" s="1"/>
  <c r="G343" i="2" s="1"/>
  <c r="F344" i="4"/>
  <c r="B345" i="4" s="1"/>
  <c r="D345" i="4"/>
  <c r="G345" i="4" s="1"/>
  <c r="D244" i="2"/>
  <c r="G244" i="2" s="1"/>
  <c r="F144" i="2"/>
  <c r="B145" i="2" s="1"/>
  <c r="F247" i="4"/>
  <c r="B248" i="4" s="1"/>
  <c r="F32" i="2"/>
  <c r="I32" i="2" s="1"/>
  <c r="D145" i="4"/>
  <c r="G145" i="4" s="1"/>
  <c r="F343" i="2" l="1"/>
  <c r="B344" i="2" s="1"/>
  <c r="C33" i="2"/>
  <c r="K32" i="2"/>
  <c r="M32" i="2"/>
  <c r="F145" i="2"/>
  <c r="B146" i="2" s="1"/>
  <c r="D145" i="2"/>
  <c r="G145" i="2" s="1"/>
  <c r="F244" i="2"/>
  <c r="B245" i="2" s="1"/>
  <c r="D248" i="4"/>
  <c r="G248" i="4" s="1"/>
  <c r="F145" i="4"/>
  <c r="B146" i="4" s="1"/>
  <c r="F345" i="4"/>
  <c r="B346" i="4" s="1"/>
  <c r="D344" i="2"/>
  <c r="G344" i="2" s="1"/>
  <c r="D146" i="2" l="1"/>
  <c r="G146" i="2" s="1"/>
  <c r="F344" i="2"/>
  <c r="B345" i="2" s="1"/>
  <c r="D245" i="2"/>
  <c r="G245" i="2" s="1"/>
  <c r="D346" i="4"/>
  <c r="G346" i="4" s="1"/>
  <c r="F248" i="4"/>
  <c r="B249" i="4" s="1"/>
  <c r="F146" i="4"/>
  <c r="B147" i="4" s="1"/>
  <c r="D146" i="4"/>
  <c r="G146" i="4" s="1"/>
  <c r="F33" i="2"/>
  <c r="I33" i="2" s="1"/>
  <c r="F346" i="4" l="1"/>
  <c r="B347" i="4" s="1"/>
  <c r="F245" i="2"/>
  <c r="B246" i="2" s="1"/>
  <c r="D345" i="2"/>
  <c r="G345" i="2" s="1"/>
  <c r="D249" i="4"/>
  <c r="G249" i="4" s="1"/>
  <c r="M33" i="2"/>
  <c r="K33" i="2"/>
  <c r="C34" i="2"/>
  <c r="F146" i="2"/>
  <c r="B147" i="2" s="1"/>
  <c r="D147" i="4"/>
  <c r="G147" i="4" s="1"/>
  <c r="F249" i="4" l="1"/>
  <c r="B250" i="4" s="1"/>
  <c r="D246" i="2"/>
  <c r="G246" i="2" s="1"/>
  <c r="F246" i="2"/>
  <c r="B247" i="2" s="1"/>
  <c r="F147" i="4"/>
  <c r="B148" i="4" s="1"/>
  <c r="F345" i="2"/>
  <c r="B346" i="2" s="1"/>
  <c r="D147" i="2"/>
  <c r="G147" i="2" s="1"/>
  <c r="F34" i="2"/>
  <c r="I34" i="2" s="1"/>
  <c r="D347" i="4"/>
  <c r="G347" i="4" s="1"/>
  <c r="C35" i="2" l="1"/>
  <c r="K34" i="2"/>
  <c r="M34" i="2"/>
  <c r="D346" i="2"/>
  <c r="G346" i="2" s="1"/>
  <c r="D247" i="2"/>
  <c r="G247" i="2" s="1"/>
  <c r="F148" i="4"/>
  <c r="B149" i="4" s="1"/>
  <c r="D148" i="4"/>
  <c r="G148" i="4" s="1"/>
  <c r="F347" i="4"/>
  <c r="B348" i="4" s="1"/>
  <c r="F147" i="2"/>
  <c r="B148" i="2" s="1"/>
  <c r="D250" i="4"/>
  <c r="G250" i="4" s="1"/>
  <c r="F250" i="4"/>
  <c r="B251" i="4" s="1"/>
  <c r="F247" i="2" l="1"/>
  <c r="B248" i="2" s="1"/>
  <c r="F149" i="4"/>
  <c r="B150" i="4" s="1"/>
  <c r="D149" i="4"/>
  <c r="G149" i="4" s="1"/>
  <c r="F148" i="2"/>
  <c r="B149" i="2" s="1"/>
  <c r="D148" i="2"/>
  <c r="G148" i="2" s="1"/>
  <c r="D251" i="4"/>
  <c r="G251" i="4" s="1"/>
  <c r="F251" i="4"/>
  <c r="B252" i="4" s="1"/>
  <c r="F346" i="2"/>
  <c r="B347" i="2" s="1"/>
  <c r="D348" i="4"/>
  <c r="G348" i="4" s="1"/>
  <c r="F35" i="2"/>
  <c r="I35" i="2" s="1"/>
  <c r="D347" i="2" l="1"/>
  <c r="G347" i="2" s="1"/>
  <c r="D149" i="2"/>
  <c r="G149" i="2" s="1"/>
  <c r="F149" i="2"/>
  <c r="B150" i="2" s="1"/>
  <c r="D150" i="4"/>
  <c r="G150" i="4" s="1"/>
  <c r="D252" i="4"/>
  <c r="G252" i="4" s="1"/>
  <c r="F252" i="4"/>
  <c r="B253" i="4" s="1"/>
  <c r="M35" i="2"/>
  <c r="K35" i="2"/>
  <c r="C36" i="2"/>
  <c r="F348" i="4"/>
  <c r="B349" i="4" s="1"/>
  <c r="D248" i="2"/>
  <c r="G248" i="2" s="1"/>
  <c r="F248" i="2"/>
  <c r="B249" i="2" s="1"/>
  <c r="F150" i="4" l="1"/>
  <c r="B151" i="4" s="1"/>
  <c r="D150" i="2"/>
  <c r="G150" i="2" s="1"/>
  <c r="F349" i="4"/>
  <c r="B350" i="4" s="1"/>
  <c r="D349" i="4"/>
  <c r="G349" i="4" s="1"/>
  <c r="D253" i="4"/>
  <c r="G253" i="4" s="1"/>
  <c r="D249" i="2"/>
  <c r="G249" i="2" s="1"/>
  <c r="F36" i="2"/>
  <c r="I36" i="2" s="1"/>
  <c r="F347" i="2"/>
  <c r="B348" i="2" s="1"/>
  <c r="F253" i="4" l="1"/>
  <c r="B254" i="4" s="1"/>
  <c r="D348" i="2"/>
  <c r="G348" i="2" s="1"/>
  <c r="D350" i="4"/>
  <c r="G350" i="4" s="1"/>
  <c r="M36" i="2"/>
  <c r="C37" i="2"/>
  <c r="K36" i="2"/>
  <c r="F150" i="2"/>
  <c r="B151" i="2" s="1"/>
  <c r="F249" i="2"/>
  <c r="B250" i="2" s="1"/>
  <c r="D151" i="4"/>
  <c r="G151" i="4" s="1"/>
  <c r="F350" i="4" l="1"/>
  <c r="B351" i="4" s="1"/>
  <c r="F151" i="4"/>
  <c r="B152" i="4" s="1"/>
  <c r="F348" i="2"/>
  <c r="B349" i="2" s="1"/>
  <c r="F37" i="2"/>
  <c r="I37" i="2" s="1"/>
  <c r="D250" i="2"/>
  <c r="G250" i="2" s="1"/>
  <c r="F250" i="2"/>
  <c r="B251" i="2" s="1"/>
  <c r="D151" i="2"/>
  <c r="G151" i="2" s="1"/>
  <c r="F254" i="4"/>
  <c r="B255" i="4" s="1"/>
  <c r="D254" i="4"/>
  <c r="G254" i="4" s="1"/>
  <c r="C38" i="2" l="1"/>
  <c r="M37" i="2"/>
  <c r="K37" i="2"/>
  <c r="F251" i="2"/>
  <c r="B252" i="2" s="1"/>
  <c r="D251" i="2"/>
  <c r="G251" i="2" s="1"/>
  <c r="D349" i="2"/>
  <c r="G349" i="2" s="1"/>
  <c r="F349" i="2"/>
  <c r="B350" i="2" s="1"/>
  <c r="F255" i="4"/>
  <c r="B256" i="4" s="1"/>
  <c r="D255" i="4"/>
  <c r="G255" i="4" s="1"/>
  <c r="D152" i="4"/>
  <c r="G152" i="4" s="1"/>
  <c r="F152" i="4"/>
  <c r="B153" i="4" s="1"/>
  <c r="F151" i="2"/>
  <c r="B152" i="2" s="1"/>
  <c r="D351" i="4"/>
  <c r="G351" i="4" s="1"/>
  <c r="F351" i="4"/>
  <c r="B352" i="4" s="1"/>
  <c r="D256" i="4" l="1"/>
  <c r="G256" i="4" s="1"/>
  <c r="F256" i="4"/>
  <c r="B257" i="4" s="1"/>
  <c r="D252" i="2"/>
  <c r="G252" i="2" s="1"/>
  <c r="F252" i="2"/>
  <c r="B253" i="2" s="1"/>
  <c r="D352" i="4"/>
  <c r="G352" i="4" s="1"/>
  <c r="D350" i="2"/>
  <c r="G350" i="2" s="1"/>
  <c r="D152" i="2"/>
  <c r="G152" i="2" s="1"/>
  <c r="D153" i="4"/>
  <c r="G153" i="4" s="1"/>
  <c r="F38" i="2"/>
  <c r="I38" i="2" s="1"/>
  <c r="C39" i="2" l="1"/>
  <c r="K38" i="2"/>
  <c r="M38" i="2"/>
  <c r="F352" i="4"/>
  <c r="B353" i="4" s="1"/>
  <c r="F350" i="2"/>
  <c r="B351" i="2" s="1"/>
  <c r="D253" i="2"/>
  <c r="G253" i="2" s="1"/>
  <c r="F152" i="2"/>
  <c r="B153" i="2" s="1"/>
  <c r="D257" i="4"/>
  <c r="G257" i="4" s="1"/>
  <c r="F153" i="4"/>
  <c r="B154" i="4" s="1"/>
  <c r="F253" i="2" l="1"/>
  <c r="B254" i="2" s="1"/>
  <c r="D351" i="2"/>
  <c r="G351" i="2" s="1"/>
  <c r="F351" i="2"/>
  <c r="B352" i="2" s="1"/>
  <c r="D154" i="4"/>
  <c r="G154" i="4" s="1"/>
  <c r="F153" i="2"/>
  <c r="B154" i="2" s="1"/>
  <c r="D153" i="2"/>
  <c r="G153" i="2" s="1"/>
  <c r="F353" i="4"/>
  <c r="B354" i="4" s="1"/>
  <c r="D353" i="4"/>
  <c r="G353" i="4" s="1"/>
  <c r="F257" i="4"/>
  <c r="B258" i="4" s="1"/>
  <c r="F39" i="2"/>
  <c r="I39" i="2" s="1"/>
  <c r="D154" i="2" l="1"/>
  <c r="G154" i="2" s="1"/>
  <c r="F154" i="2"/>
  <c r="B155" i="2" s="1"/>
  <c r="D354" i="4"/>
  <c r="G354" i="4" s="1"/>
  <c r="F154" i="4"/>
  <c r="B155" i="4" s="1"/>
  <c r="M39" i="2"/>
  <c r="C40" i="2"/>
  <c r="K39" i="2"/>
  <c r="D352" i="2"/>
  <c r="G352" i="2" s="1"/>
  <c r="F352" i="2"/>
  <c r="B353" i="2" s="1"/>
  <c r="D258" i="4"/>
  <c r="G258" i="4" s="1"/>
  <c r="D254" i="2"/>
  <c r="G254" i="2" s="1"/>
  <c r="F40" i="2" l="1"/>
  <c r="I40" i="2" s="1"/>
  <c r="D155" i="4"/>
  <c r="G155" i="4" s="1"/>
  <c r="F155" i="4"/>
  <c r="B156" i="4" s="1"/>
  <c r="F258" i="4"/>
  <c r="B259" i="4" s="1"/>
  <c r="D155" i="2"/>
  <c r="G155" i="2" s="1"/>
  <c r="F254" i="2"/>
  <c r="B255" i="2" s="1"/>
  <c r="F354" i="4"/>
  <c r="B355" i="4" s="1"/>
  <c r="D353" i="2"/>
  <c r="G353" i="2" s="1"/>
  <c r="F353" i="2"/>
  <c r="B354" i="2" s="1"/>
  <c r="C41" i="2" l="1"/>
  <c r="K40" i="2"/>
  <c r="M40" i="2"/>
  <c r="D255" i="2"/>
  <c r="G255" i="2" s="1"/>
  <c r="F255" i="2"/>
  <c r="B256" i="2" s="1"/>
  <c r="D259" i="4"/>
  <c r="G259" i="4" s="1"/>
  <c r="F259" i="4"/>
  <c r="B260" i="4" s="1"/>
  <c r="F155" i="2"/>
  <c r="B156" i="2" s="1"/>
  <c r="D156" i="4"/>
  <c r="G156" i="4" s="1"/>
  <c r="D354" i="2"/>
  <c r="G354" i="2" s="1"/>
  <c r="D355" i="4"/>
  <c r="G355" i="4" s="1"/>
  <c r="D260" i="4" l="1"/>
  <c r="G260" i="4" s="1"/>
  <c r="F354" i="2"/>
  <c r="B355" i="2" s="1"/>
  <c r="D156" i="2"/>
  <c r="G156" i="2" s="1"/>
  <c r="F355" i="4"/>
  <c r="B356" i="4" s="1"/>
  <c r="D256" i="2"/>
  <c r="G256" i="2" s="1"/>
  <c r="F156" i="4"/>
  <c r="B157" i="4" s="1"/>
  <c r="F41" i="2"/>
  <c r="I41" i="2" s="1"/>
  <c r="F356" i="4" l="1"/>
  <c r="B357" i="4" s="1"/>
  <c r="D356" i="4"/>
  <c r="G356" i="4" s="1"/>
  <c r="F156" i="2"/>
  <c r="B157" i="2" s="1"/>
  <c r="M41" i="2"/>
  <c r="K41" i="2"/>
  <c r="C42" i="2"/>
  <c r="F260" i="4"/>
  <c r="B261" i="4" s="1"/>
  <c r="F256" i="2"/>
  <c r="B257" i="2" s="1"/>
  <c r="F355" i="2"/>
  <c r="B356" i="2" s="1"/>
  <c r="D355" i="2"/>
  <c r="G355" i="2" s="1"/>
  <c r="D157" i="4"/>
  <c r="G157" i="4" s="1"/>
  <c r="D257" i="2" l="1"/>
  <c r="G257" i="2" s="1"/>
  <c r="D157" i="2"/>
  <c r="G157" i="2" s="1"/>
  <c r="F157" i="2"/>
  <c r="B158" i="2" s="1"/>
  <c r="D261" i="4"/>
  <c r="G261" i="4" s="1"/>
  <c r="F157" i="4"/>
  <c r="B158" i="4" s="1"/>
  <c r="I42" i="2"/>
  <c r="F42" i="2"/>
  <c r="D356" i="2"/>
  <c r="G356" i="2" s="1"/>
  <c r="F356" i="2"/>
  <c r="B357" i="2" s="1"/>
  <c r="D357" i="4"/>
  <c r="G357" i="4" s="1"/>
  <c r="C43" i="2" l="1"/>
  <c r="K42" i="2"/>
  <c r="M42" i="2"/>
  <c r="F261" i="4"/>
  <c r="B262" i="4" s="1"/>
  <c r="D158" i="2"/>
  <c r="G158" i="2" s="1"/>
  <c r="F158" i="2"/>
  <c r="B159" i="2" s="1"/>
  <c r="D158" i="4"/>
  <c r="G158" i="4" s="1"/>
  <c r="D357" i="2"/>
  <c r="G357" i="2" s="1"/>
  <c r="F257" i="2"/>
  <c r="B258" i="2" s="1"/>
  <c r="F357" i="4"/>
  <c r="B358" i="4" s="1"/>
  <c r="F158" i="4" l="1"/>
  <c r="B159" i="4" s="1"/>
  <c r="D262" i="4"/>
  <c r="G262" i="4" s="1"/>
  <c r="F262" i="4"/>
  <c r="B263" i="4" s="1"/>
  <c r="D159" i="2"/>
  <c r="G159" i="2" s="1"/>
  <c r="D358" i="4"/>
  <c r="G358" i="4" s="1"/>
  <c r="F258" i="2"/>
  <c r="B259" i="2" s="1"/>
  <c r="D258" i="2"/>
  <c r="G258" i="2" s="1"/>
  <c r="F357" i="2"/>
  <c r="B358" i="2" s="1"/>
  <c r="F43" i="2"/>
  <c r="I43" i="2"/>
  <c r="F263" i="4" l="1"/>
  <c r="B264" i="4" s="1"/>
  <c r="D263" i="4"/>
  <c r="G263" i="4" s="1"/>
  <c r="F358" i="4"/>
  <c r="B359" i="4" s="1"/>
  <c r="F159" i="2"/>
  <c r="B160" i="2" s="1"/>
  <c r="D358" i="2"/>
  <c r="G358" i="2" s="1"/>
  <c r="F358" i="2"/>
  <c r="B359" i="2" s="1"/>
  <c r="D259" i="2"/>
  <c r="G259" i="2" s="1"/>
  <c r="K43" i="2"/>
  <c r="M43" i="2"/>
  <c r="C44" i="2"/>
  <c r="D159" i="4"/>
  <c r="G159" i="4" s="1"/>
  <c r="F159" i="4" l="1"/>
  <c r="B160" i="4" s="1"/>
  <c r="D359" i="4"/>
  <c r="G359" i="4" s="1"/>
  <c r="F359" i="4"/>
  <c r="B360" i="4" s="1"/>
  <c r="F259" i="2"/>
  <c r="B260" i="2" s="1"/>
  <c r="D160" i="2"/>
  <c r="G160" i="2" s="1"/>
  <c r="F160" i="2"/>
  <c r="B161" i="2" s="1"/>
  <c r="F44" i="2"/>
  <c r="I44" i="2" s="1"/>
  <c r="D359" i="2"/>
  <c r="G359" i="2" s="1"/>
  <c r="D264" i="4"/>
  <c r="G264" i="4" s="1"/>
  <c r="F264" i="4"/>
  <c r="B265" i="4" s="1"/>
  <c r="K44" i="2" l="1"/>
  <c r="C45" i="2"/>
  <c r="M44" i="2"/>
  <c r="D260" i="2"/>
  <c r="G260" i="2" s="1"/>
  <c r="F360" i="4"/>
  <c r="B361" i="4" s="1"/>
  <c r="D360" i="4"/>
  <c r="G360" i="4" s="1"/>
  <c r="F161" i="2"/>
  <c r="B162" i="2" s="1"/>
  <c r="D161" i="2"/>
  <c r="G161" i="2" s="1"/>
  <c r="D265" i="4"/>
  <c r="G265" i="4" s="1"/>
  <c r="F265" i="4"/>
  <c r="B266" i="4" s="1"/>
  <c r="F359" i="2"/>
  <c r="B360" i="2" s="1"/>
  <c r="D160" i="4"/>
  <c r="G160" i="4" s="1"/>
  <c r="D361" i="4" l="1"/>
  <c r="G361" i="4" s="1"/>
  <c r="F160" i="4"/>
  <c r="B161" i="4" s="1"/>
  <c r="F260" i="2"/>
  <c r="B261" i="2" s="1"/>
  <c r="F360" i="2"/>
  <c r="B361" i="2" s="1"/>
  <c r="D360" i="2"/>
  <c r="G360" i="2" s="1"/>
  <c r="F45" i="2"/>
  <c r="I45" i="2" s="1"/>
  <c r="D162" i="2"/>
  <c r="G162" i="2" s="1"/>
  <c r="D266" i="4"/>
  <c r="G266" i="4" s="1"/>
  <c r="M45" i="2" l="1"/>
  <c r="K45" i="2"/>
  <c r="C46" i="2"/>
  <c r="D361" i="2"/>
  <c r="G361" i="2" s="1"/>
  <c r="D261" i="2"/>
  <c r="G261" i="2" s="1"/>
  <c r="D161" i="4"/>
  <c r="G161" i="4" s="1"/>
  <c r="F266" i="4"/>
  <c r="B267" i="4" s="1"/>
  <c r="F162" i="2"/>
  <c r="B163" i="2" s="1"/>
  <c r="F361" i="4"/>
  <c r="B362" i="4" s="1"/>
  <c r="F261" i="2" l="1"/>
  <c r="B262" i="2" s="1"/>
  <c r="F361" i="2"/>
  <c r="B362" i="2" s="1"/>
  <c r="D163" i="2"/>
  <c r="G163" i="2" s="1"/>
  <c r="F163" i="2"/>
  <c r="B164" i="2" s="1"/>
  <c r="D267" i="4"/>
  <c r="G267" i="4" s="1"/>
  <c r="D362" i="4"/>
  <c r="G362" i="4" s="1"/>
  <c r="F46" i="2"/>
  <c r="I46" i="2" s="1"/>
  <c r="F161" i="4"/>
  <c r="B162" i="4" s="1"/>
  <c r="C47" i="2" l="1"/>
  <c r="K46" i="2"/>
  <c r="M46" i="2"/>
  <c r="F362" i="4"/>
  <c r="B363" i="4" s="1"/>
  <c r="D162" i="4"/>
  <c r="G162" i="4" s="1"/>
  <c r="D362" i="2"/>
  <c r="G362" i="2" s="1"/>
  <c r="F267" i="4"/>
  <c r="B268" i="4" s="1"/>
  <c r="D164" i="2"/>
  <c r="G164" i="2" s="1"/>
  <c r="D262" i="2"/>
  <c r="G262" i="2" s="1"/>
  <c r="F162" i="4" l="1"/>
  <c r="B163" i="4" s="1"/>
  <c r="F362" i="2"/>
  <c r="B363" i="2" s="1"/>
  <c r="F262" i="2"/>
  <c r="B263" i="2" s="1"/>
  <c r="F164" i="2"/>
  <c r="B165" i="2" s="1"/>
  <c r="D363" i="4"/>
  <c r="G363" i="4" s="1"/>
  <c r="D268" i="4"/>
  <c r="G268" i="4" s="1"/>
  <c r="F47" i="2"/>
  <c r="I47" i="2" s="1"/>
  <c r="K47" i="2" l="1"/>
  <c r="M47" i="2"/>
  <c r="C48" i="2"/>
  <c r="D263" i="2"/>
  <c r="G263" i="2" s="1"/>
  <c r="D165" i="2"/>
  <c r="G165" i="2" s="1"/>
  <c r="F363" i="2"/>
  <c r="B364" i="2" s="1"/>
  <c r="D363" i="2"/>
  <c r="G363" i="2" s="1"/>
  <c r="F268" i="4"/>
  <c r="B269" i="4" s="1"/>
  <c r="F363" i="4"/>
  <c r="B364" i="4" s="1"/>
  <c r="D163" i="4"/>
  <c r="G163" i="4" s="1"/>
  <c r="F165" i="2" l="1"/>
  <c r="B166" i="2" s="1"/>
  <c r="F263" i="2"/>
  <c r="B264" i="2" s="1"/>
  <c r="D364" i="2"/>
  <c r="G364" i="2" s="1"/>
  <c r="D364" i="4"/>
  <c r="G364" i="4" s="1"/>
  <c r="F48" i="2"/>
  <c r="I48" i="2" s="1"/>
  <c r="F163" i="4"/>
  <c r="B164" i="4" s="1"/>
  <c r="D269" i="4"/>
  <c r="G269" i="4" s="1"/>
  <c r="K48" i="2" l="1"/>
  <c r="C49" i="2"/>
  <c r="M48" i="2"/>
  <c r="F364" i="2"/>
  <c r="B365" i="2" s="1"/>
  <c r="F364" i="4"/>
  <c r="B365" i="4" s="1"/>
  <c r="F269" i="4"/>
  <c r="B270" i="4" s="1"/>
  <c r="D264" i="2"/>
  <c r="G264" i="2" s="1"/>
  <c r="F164" i="4"/>
  <c r="B165" i="4" s="1"/>
  <c r="D164" i="4"/>
  <c r="G164" i="4" s="1"/>
  <c r="D166" i="2"/>
  <c r="G166" i="2" s="1"/>
  <c r="D365" i="4" l="1"/>
  <c r="G365" i="4" s="1"/>
  <c r="D365" i="2"/>
  <c r="G365" i="2" s="1"/>
  <c r="F166" i="2"/>
  <c r="B167" i="2" s="1"/>
  <c r="F270" i="4"/>
  <c r="B271" i="4" s="1"/>
  <c r="D270" i="4"/>
  <c r="G270" i="4" s="1"/>
  <c r="F49" i="2"/>
  <c r="I49" i="2" s="1"/>
  <c r="F264" i="2"/>
  <c r="B265" i="2" s="1"/>
  <c r="D165" i="4"/>
  <c r="G165" i="4" s="1"/>
  <c r="F165" i="4"/>
  <c r="B166" i="4" s="1"/>
  <c r="K49" i="2" l="1"/>
  <c r="M49" i="2"/>
  <c r="C50" i="2"/>
  <c r="D271" i="4"/>
  <c r="G271" i="4" s="1"/>
  <c r="D167" i="2"/>
  <c r="G167" i="2" s="1"/>
  <c r="F167" i="2"/>
  <c r="B168" i="2" s="1"/>
  <c r="F365" i="2"/>
  <c r="B366" i="2" s="1"/>
  <c r="D166" i="4"/>
  <c r="G166" i="4" s="1"/>
  <c r="D265" i="2"/>
  <c r="G265" i="2" s="1"/>
  <c r="F365" i="4"/>
  <c r="B366" i="4" s="1"/>
  <c r="D366" i="2" l="1"/>
  <c r="G366" i="2" s="1"/>
  <c r="F366" i="2"/>
  <c r="B367" i="2" s="1"/>
  <c r="D366" i="4"/>
  <c r="G366" i="4" s="1"/>
  <c r="F265" i="2"/>
  <c r="B266" i="2" s="1"/>
  <c r="D168" i="2"/>
  <c r="G168" i="2" s="1"/>
  <c r="F168" i="2"/>
  <c r="B169" i="2" s="1"/>
  <c r="F271" i="4"/>
  <c r="B272" i="4" s="1"/>
  <c r="F50" i="2"/>
  <c r="I50" i="2" s="1"/>
  <c r="F166" i="4"/>
  <c r="B167" i="4" s="1"/>
  <c r="C51" i="2" l="1"/>
  <c r="K50" i="2"/>
  <c r="M50" i="2"/>
  <c r="D169" i="2"/>
  <c r="G169" i="2" s="1"/>
  <c r="F169" i="2"/>
  <c r="B170" i="2" s="1"/>
  <c r="D266" i="2"/>
  <c r="G266" i="2" s="1"/>
  <c r="F366" i="4"/>
  <c r="B367" i="4" s="1"/>
  <c r="D367" i="2"/>
  <c r="G367" i="2" s="1"/>
  <c r="F367" i="2"/>
  <c r="B368" i="2" s="1"/>
  <c r="D272" i="4"/>
  <c r="G272" i="4" s="1"/>
  <c r="F272" i="4"/>
  <c r="B273" i="4" s="1"/>
  <c r="F167" i="4"/>
  <c r="B168" i="4" s="1"/>
  <c r="D167" i="4"/>
  <c r="G167" i="4" s="1"/>
  <c r="D168" i="4" l="1"/>
  <c r="G168" i="4" s="1"/>
  <c r="D367" i="4"/>
  <c r="G367" i="4" s="1"/>
  <c r="D170" i="2"/>
  <c r="G170" i="2" s="1"/>
  <c r="F266" i="2"/>
  <c r="B267" i="2" s="1"/>
  <c r="F273" i="4"/>
  <c r="B274" i="4" s="1"/>
  <c r="D273" i="4"/>
  <c r="G273" i="4" s="1"/>
  <c r="D368" i="2"/>
  <c r="G368" i="2" s="1"/>
  <c r="F368" i="2"/>
  <c r="B369" i="2" s="1"/>
  <c r="F51" i="2"/>
  <c r="I51" i="2"/>
  <c r="D267" i="2" l="1"/>
  <c r="G267" i="2" s="1"/>
  <c r="D274" i="4"/>
  <c r="G274" i="4" s="1"/>
  <c r="F170" i="2"/>
  <c r="B171" i="2" s="1"/>
  <c r="F367" i="4"/>
  <c r="B368" i="4" s="1"/>
  <c r="K51" i="2"/>
  <c r="C52" i="2"/>
  <c r="M51" i="2"/>
  <c r="D369" i="2"/>
  <c r="G369" i="2" s="1"/>
  <c r="F168" i="4"/>
  <c r="B169" i="4" s="1"/>
  <c r="F52" i="2" l="1"/>
  <c r="I52" i="2"/>
  <c r="D171" i="2"/>
  <c r="G171" i="2" s="1"/>
  <c r="D368" i="4"/>
  <c r="G368" i="4" s="1"/>
  <c r="D169" i="4"/>
  <c r="G169" i="4" s="1"/>
  <c r="F274" i="4"/>
  <c r="B275" i="4" s="1"/>
  <c r="F369" i="2"/>
  <c r="B370" i="2" s="1"/>
  <c r="F267" i="2"/>
  <c r="B268" i="2" s="1"/>
  <c r="D268" i="2" l="1"/>
  <c r="G268" i="2" s="1"/>
  <c r="D370" i="2"/>
  <c r="G370" i="2" s="1"/>
  <c r="C53" i="2"/>
  <c r="K52" i="2"/>
  <c r="M52" i="2"/>
  <c r="F169" i="4"/>
  <c r="B170" i="4" s="1"/>
  <c r="F368" i="4"/>
  <c r="B369" i="4" s="1"/>
  <c r="F171" i="2"/>
  <c r="B172" i="2" s="1"/>
  <c r="D275" i="4"/>
  <c r="G275" i="4" s="1"/>
  <c r="F275" i="4"/>
  <c r="B276" i="4" s="1"/>
  <c r="D276" i="4" l="1"/>
  <c r="G276" i="4" s="1"/>
  <c r="F370" i="2"/>
  <c r="B371" i="2" s="1"/>
  <c r="D172" i="2"/>
  <c r="G172" i="2" s="1"/>
  <c r="F172" i="2"/>
  <c r="B173" i="2" s="1"/>
  <c r="F268" i="2"/>
  <c r="B269" i="2" s="1"/>
  <c r="D170" i="4"/>
  <c r="G170" i="4" s="1"/>
  <c r="F53" i="2"/>
  <c r="I53" i="2" s="1"/>
  <c r="D369" i="4"/>
  <c r="G369" i="4" s="1"/>
  <c r="M53" i="2" l="1"/>
  <c r="K53" i="2"/>
  <c r="C54" i="2"/>
  <c r="F170" i="4"/>
  <c r="B171" i="4" s="1"/>
  <c r="D173" i="2"/>
  <c r="G173" i="2" s="1"/>
  <c r="F173" i="2"/>
  <c r="B174" i="2" s="1"/>
  <c r="F369" i="4"/>
  <c r="B370" i="4" s="1"/>
  <c r="F269" i="2"/>
  <c r="B270" i="2" s="1"/>
  <c r="D269" i="2"/>
  <c r="G269" i="2" s="1"/>
  <c r="D371" i="2"/>
  <c r="G371" i="2" s="1"/>
  <c r="F276" i="4"/>
  <c r="B277" i="4" s="1"/>
  <c r="D174" i="2" l="1"/>
  <c r="G174" i="2" s="1"/>
  <c r="F174" i="2"/>
  <c r="B175" i="2" s="1"/>
  <c r="D171" i="4"/>
  <c r="G171" i="4" s="1"/>
  <c r="F171" i="4"/>
  <c r="B172" i="4" s="1"/>
  <c r="D370" i="4"/>
  <c r="G370" i="4" s="1"/>
  <c r="F371" i="2"/>
  <c r="B372" i="2" s="1"/>
  <c r="D270" i="2"/>
  <c r="G270" i="2" s="1"/>
  <c r="D277" i="4"/>
  <c r="G277" i="4" s="1"/>
  <c r="F277" i="4"/>
  <c r="B278" i="4" s="1"/>
  <c r="I54" i="2"/>
  <c r="F54" i="2"/>
  <c r="K54" i="2" l="1"/>
  <c r="C55" i="2"/>
  <c r="M54" i="2"/>
  <c r="D372" i="2"/>
  <c r="G372" i="2" s="1"/>
  <c r="F370" i="4"/>
  <c r="B371" i="4" s="1"/>
  <c r="F278" i="4"/>
  <c r="B279" i="4" s="1"/>
  <c r="D278" i="4"/>
  <c r="G278" i="4" s="1"/>
  <c r="D175" i="2"/>
  <c r="G175" i="2" s="1"/>
  <c r="D172" i="4"/>
  <c r="G172" i="4" s="1"/>
  <c r="F270" i="2"/>
  <c r="B271" i="2" s="1"/>
  <c r="D279" i="4" l="1"/>
  <c r="G279" i="4" s="1"/>
  <c r="F279" i="4"/>
  <c r="B280" i="4" s="1"/>
  <c r="D271" i="2"/>
  <c r="G271" i="2" s="1"/>
  <c r="F372" i="2"/>
  <c r="B373" i="2" s="1"/>
  <c r="F55" i="2"/>
  <c r="I55" i="2" s="1"/>
  <c r="F371" i="4"/>
  <c r="B372" i="4" s="1"/>
  <c r="D371" i="4"/>
  <c r="G371" i="4" s="1"/>
  <c r="F172" i="4"/>
  <c r="B173" i="4" s="1"/>
  <c r="F175" i="2"/>
  <c r="B176" i="2" s="1"/>
  <c r="K55" i="2" l="1"/>
  <c r="C56" i="2"/>
  <c r="M55" i="2"/>
  <c r="D372" i="4"/>
  <c r="G372" i="4" s="1"/>
  <c r="D373" i="2"/>
  <c r="G373" i="2" s="1"/>
  <c r="D176" i="2"/>
  <c r="G176" i="2" s="1"/>
  <c r="F271" i="2"/>
  <c r="B272" i="2" s="1"/>
  <c r="D280" i="4"/>
  <c r="G280" i="4" s="1"/>
  <c r="F280" i="4"/>
  <c r="B281" i="4" s="1"/>
  <c r="F173" i="4"/>
  <c r="B174" i="4" s="1"/>
  <c r="D173" i="4"/>
  <c r="G173" i="4" s="1"/>
  <c r="D281" i="4" l="1"/>
  <c r="G281" i="4" s="1"/>
  <c r="F372" i="4"/>
  <c r="B373" i="4" s="1"/>
  <c r="F373" i="2"/>
  <c r="B374" i="2" s="1"/>
  <c r="D272" i="2"/>
  <c r="G272" i="2" s="1"/>
  <c r="F56" i="2"/>
  <c r="I56" i="2" s="1"/>
  <c r="D174" i="4"/>
  <c r="G174" i="4" s="1"/>
  <c r="F176" i="2"/>
  <c r="B177" i="2" s="1"/>
  <c r="C57" i="2" l="1"/>
  <c r="M56" i="2"/>
  <c r="K56" i="2"/>
  <c r="F272" i="2"/>
  <c r="B273" i="2" s="1"/>
  <c r="D374" i="2"/>
  <c r="G374" i="2" s="1"/>
  <c r="D177" i="2"/>
  <c r="G177" i="2" s="1"/>
  <c r="F177" i="2"/>
  <c r="B178" i="2" s="1"/>
  <c r="D373" i="4"/>
  <c r="G373" i="4" s="1"/>
  <c r="F174" i="4"/>
  <c r="B175" i="4" s="1"/>
  <c r="F281" i="4"/>
  <c r="B282" i="4" s="1"/>
  <c r="D178" i="2" l="1"/>
  <c r="G178" i="2" s="1"/>
  <c r="D273" i="2"/>
  <c r="G273" i="2" s="1"/>
  <c r="F374" i="2"/>
  <c r="B375" i="2" s="1"/>
  <c r="D282" i="4"/>
  <c r="G282" i="4" s="1"/>
  <c r="D175" i="4"/>
  <c r="G175" i="4" s="1"/>
  <c r="F373" i="4"/>
  <c r="B374" i="4" s="1"/>
  <c r="F57" i="2"/>
  <c r="I57" i="2" s="1"/>
  <c r="M57" i="2" l="1"/>
  <c r="C58" i="2"/>
  <c r="K57" i="2"/>
  <c r="F282" i="4"/>
  <c r="B283" i="4" s="1"/>
  <c r="F273" i="2"/>
  <c r="B274" i="2" s="1"/>
  <c r="D375" i="2"/>
  <c r="G375" i="2" s="1"/>
  <c r="F374" i="4"/>
  <c r="B375" i="4" s="1"/>
  <c r="D374" i="4"/>
  <c r="G374" i="4" s="1"/>
  <c r="F178" i="2"/>
  <c r="B179" i="2" s="1"/>
  <c r="F175" i="4"/>
  <c r="B176" i="4" s="1"/>
  <c r="D283" i="4" l="1"/>
  <c r="G283" i="4" s="1"/>
  <c r="D375" i="4"/>
  <c r="G375" i="4" s="1"/>
  <c r="D274" i="2"/>
  <c r="G274" i="2" s="1"/>
  <c r="D179" i="2"/>
  <c r="G179" i="2" s="1"/>
  <c r="I58" i="2"/>
  <c r="F58" i="2"/>
  <c r="F375" i="2"/>
  <c r="B376" i="2" s="1"/>
  <c r="D176" i="4"/>
  <c r="G176" i="4" s="1"/>
  <c r="F176" i="4"/>
  <c r="B177" i="4" s="1"/>
  <c r="F179" i="2" l="1"/>
  <c r="B180" i="2" s="1"/>
  <c r="D177" i="4"/>
  <c r="G177" i="4" s="1"/>
  <c r="D376" i="2"/>
  <c r="G376" i="2" s="1"/>
  <c r="F375" i="4"/>
  <c r="B376" i="4" s="1"/>
  <c r="F283" i="4"/>
  <c r="B284" i="4" s="1"/>
  <c r="F274" i="2"/>
  <c r="B275" i="2" s="1"/>
  <c r="M58" i="2"/>
  <c r="C59" i="2"/>
  <c r="K58" i="2"/>
  <c r="D275" i="2" l="1"/>
  <c r="G275" i="2" s="1"/>
  <c r="F376" i="2"/>
  <c r="B377" i="2" s="1"/>
  <c r="F177" i="4"/>
  <c r="B178" i="4" s="1"/>
  <c r="D284" i="4"/>
  <c r="G284" i="4" s="1"/>
  <c r="D376" i="4"/>
  <c r="G376" i="4" s="1"/>
  <c r="F376" i="4"/>
  <c r="B377" i="4" s="1"/>
  <c r="F59" i="2"/>
  <c r="I59" i="2" s="1"/>
  <c r="D180" i="2"/>
  <c r="G180" i="2" s="1"/>
  <c r="F180" i="2"/>
  <c r="B181" i="2" s="1"/>
  <c r="M59" i="2" l="1"/>
  <c r="C60" i="2"/>
  <c r="K59" i="2"/>
  <c r="F284" i="4"/>
  <c r="B285" i="4" s="1"/>
  <c r="D178" i="4"/>
  <c r="G178" i="4" s="1"/>
  <c r="F178" i="4"/>
  <c r="B179" i="4" s="1"/>
  <c r="D377" i="4"/>
  <c r="G377" i="4" s="1"/>
  <c r="D377" i="2"/>
  <c r="G377" i="2" s="1"/>
  <c r="D181" i="2"/>
  <c r="G181" i="2" s="1"/>
  <c r="F181" i="2"/>
  <c r="B182" i="2" s="1"/>
  <c r="F275" i="2"/>
  <c r="B276" i="2" s="1"/>
  <c r="D182" i="2" l="1"/>
  <c r="G182" i="2" s="1"/>
  <c r="F377" i="4"/>
  <c r="B378" i="4" s="1"/>
  <c r="D285" i="4"/>
  <c r="G285" i="4" s="1"/>
  <c r="F285" i="4"/>
  <c r="B286" i="4" s="1"/>
  <c r="D179" i="4"/>
  <c r="G179" i="4" s="1"/>
  <c r="F179" i="4"/>
  <c r="B180" i="4" s="1"/>
  <c r="F276" i="2"/>
  <c r="B277" i="2" s="1"/>
  <c r="D276" i="2"/>
  <c r="G276" i="2" s="1"/>
  <c r="F60" i="2"/>
  <c r="I60" i="2"/>
  <c r="F377" i="2"/>
  <c r="B378" i="2" s="1"/>
  <c r="D286" i="4" l="1"/>
  <c r="G286" i="4" s="1"/>
  <c r="D378" i="4"/>
  <c r="G378" i="4" s="1"/>
  <c r="D180" i="4"/>
  <c r="G180" i="4" s="1"/>
  <c r="C61" i="2"/>
  <c r="M60" i="2"/>
  <c r="K60" i="2"/>
  <c r="D277" i="2"/>
  <c r="G277" i="2" s="1"/>
  <c r="F277" i="2"/>
  <c r="B278" i="2" s="1"/>
  <c r="D378" i="2"/>
  <c r="G378" i="2" s="1"/>
  <c r="F182" i="2"/>
  <c r="B183" i="2" s="1"/>
  <c r="F180" i="4" l="1"/>
  <c r="B181" i="4" s="1"/>
  <c r="F378" i="2"/>
  <c r="B379" i="2" s="1"/>
  <c r="D278" i="2"/>
  <c r="G278" i="2" s="1"/>
  <c r="F378" i="4"/>
  <c r="B379" i="4" s="1"/>
  <c r="F286" i="4"/>
  <c r="B287" i="4" s="1"/>
  <c r="F61" i="2"/>
  <c r="I61" i="2" s="1"/>
  <c r="D183" i="2"/>
  <c r="G183" i="2" s="1"/>
  <c r="M61" i="2" l="1"/>
  <c r="K61" i="2"/>
  <c r="C62" i="2"/>
  <c r="D287" i="4"/>
  <c r="G287" i="4" s="1"/>
  <c r="F287" i="4"/>
  <c r="B288" i="4" s="1"/>
  <c r="D379" i="4"/>
  <c r="G379" i="4" s="1"/>
  <c r="F278" i="2"/>
  <c r="B279" i="2" s="1"/>
  <c r="D379" i="2"/>
  <c r="G379" i="2" s="1"/>
  <c r="F183" i="2"/>
  <c r="B184" i="2" s="1"/>
  <c r="F181" i="4"/>
  <c r="B182" i="4" s="1"/>
  <c r="D181" i="4"/>
  <c r="G181" i="4" s="1"/>
  <c r="F379" i="4" l="1"/>
  <c r="B380" i="4" s="1"/>
  <c r="D279" i="2"/>
  <c r="G279" i="2" s="1"/>
  <c r="D288" i="4"/>
  <c r="G288" i="4" s="1"/>
  <c r="C21" i="4" s="1"/>
  <c r="C22" i="4" s="1"/>
  <c r="F182" i="4"/>
  <c r="B183" i="4" s="1"/>
  <c r="D182" i="4"/>
  <c r="G182" i="4" s="1"/>
  <c r="D184" i="2"/>
  <c r="G184" i="2" s="1"/>
  <c r="F62" i="2"/>
  <c r="I62" i="2"/>
  <c r="F379" i="2"/>
  <c r="B380" i="2" s="1"/>
  <c r="D183" i="4" l="1"/>
  <c r="G183" i="4" s="1"/>
  <c r="D380" i="2"/>
  <c r="G380" i="2" s="1"/>
  <c r="F279" i="2"/>
  <c r="B280" i="2" s="1"/>
  <c r="F288" i="4"/>
  <c r="C63" i="2"/>
  <c r="K62" i="2"/>
  <c r="M62" i="2"/>
  <c r="F184" i="2"/>
  <c r="B185" i="2" s="1"/>
  <c r="D380" i="4"/>
  <c r="G380" i="4" s="1"/>
  <c r="D280" i="2" l="1"/>
  <c r="G280" i="2" s="1"/>
  <c r="F280" i="2"/>
  <c r="B281" i="2" s="1"/>
  <c r="C19" i="4"/>
  <c r="C23" i="4"/>
  <c r="C16" i="4"/>
  <c r="F380" i="2"/>
  <c r="B381" i="2" s="1"/>
  <c r="F63" i="2"/>
  <c r="I63" i="2"/>
  <c r="D185" i="2"/>
  <c r="G185" i="2" s="1"/>
  <c r="F185" i="2"/>
  <c r="B186" i="2" s="1"/>
  <c r="F380" i="4"/>
  <c r="B381" i="4" s="1"/>
  <c r="F183" i="4"/>
  <c r="B184" i="4" s="1"/>
  <c r="D381" i="2" l="1"/>
  <c r="G381" i="2" s="1"/>
  <c r="D381" i="4"/>
  <c r="G381" i="4" s="1"/>
  <c r="D281" i="2"/>
  <c r="G281" i="2" s="1"/>
  <c r="C64" i="2"/>
  <c r="M63" i="2"/>
  <c r="K63" i="2"/>
  <c r="D184" i="4"/>
  <c r="G184" i="4" s="1"/>
  <c r="D186" i="2"/>
  <c r="G186" i="2" s="1"/>
  <c r="F64" i="2" l="1"/>
  <c r="I64" i="2" s="1"/>
  <c r="F281" i="2"/>
  <c r="B282" i="2" s="1"/>
  <c r="F381" i="4"/>
  <c r="B382" i="4" s="1"/>
  <c r="F186" i="2"/>
  <c r="B187" i="2" s="1"/>
  <c r="F184" i="4"/>
  <c r="B185" i="4" s="1"/>
  <c r="F381" i="2"/>
  <c r="B382" i="2" s="1"/>
  <c r="M64" i="2" l="1"/>
  <c r="C65" i="2"/>
  <c r="K64" i="2"/>
  <c r="D382" i="4"/>
  <c r="G382" i="4" s="1"/>
  <c r="D185" i="4"/>
  <c r="G185" i="4" s="1"/>
  <c r="F382" i="2"/>
  <c r="B383" i="2" s="1"/>
  <c r="D382" i="2"/>
  <c r="G382" i="2" s="1"/>
  <c r="D187" i="2"/>
  <c r="G187" i="2" s="1"/>
  <c r="D282" i="2"/>
  <c r="G282" i="2" s="1"/>
  <c r="F185" i="4" l="1"/>
  <c r="B186" i="4" s="1"/>
  <c r="F382" i="4"/>
  <c r="B383" i="4" s="1"/>
  <c r="F282" i="2"/>
  <c r="B283" i="2" s="1"/>
  <c r="D383" i="2"/>
  <c r="G383" i="2" s="1"/>
  <c r="F383" i="2"/>
  <c r="B384" i="2" s="1"/>
  <c r="I65" i="2"/>
  <c r="F65" i="2"/>
  <c r="F187" i="2"/>
  <c r="K65" i="2" l="1"/>
  <c r="M65" i="2"/>
  <c r="C66" i="2"/>
  <c r="D283" i="2"/>
  <c r="G283" i="2" s="1"/>
  <c r="D384" i="2"/>
  <c r="G384" i="2" s="1"/>
  <c r="F384" i="2"/>
  <c r="B385" i="2" s="1"/>
  <c r="D383" i="4"/>
  <c r="G383" i="4" s="1"/>
  <c r="D186" i="4"/>
  <c r="G186" i="4" s="1"/>
  <c r="F283" i="2" l="1"/>
  <c r="B284" i="2" s="1"/>
  <c r="F66" i="2"/>
  <c r="I66" i="2" s="1"/>
  <c r="D385" i="2"/>
  <c r="G385" i="2" s="1"/>
  <c r="F385" i="2"/>
  <c r="B386" i="2" s="1"/>
  <c r="F186" i="4"/>
  <c r="B187" i="4" s="1"/>
  <c r="F383" i="4"/>
  <c r="B384" i="4" s="1"/>
  <c r="C67" i="2" l="1"/>
  <c r="K66" i="2"/>
  <c r="M66" i="2"/>
  <c r="D384" i="4"/>
  <c r="G384" i="4" s="1"/>
  <c r="F384" i="4"/>
  <c r="B385" i="4" s="1"/>
  <c r="D386" i="2"/>
  <c r="G386" i="2" s="1"/>
  <c r="D187" i="4"/>
  <c r="G187" i="4" s="1"/>
  <c r="B21" i="4" s="1"/>
  <c r="B22" i="4" s="1"/>
  <c r="D284" i="2"/>
  <c r="G284" i="2" s="1"/>
  <c r="D385" i="4" l="1"/>
  <c r="G385" i="4" s="1"/>
  <c r="F386" i="2"/>
  <c r="B387" i="2" s="1"/>
  <c r="F284" i="2"/>
  <c r="B285" i="2" s="1"/>
  <c r="F187" i="4"/>
  <c r="F67" i="2"/>
  <c r="I67" i="2"/>
  <c r="D285" i="2" l="1"/>
  <c r="G285" i="2" s="1"/>
  <c r="C68" i="2"/>
  <c r="M67" i="2"/>
  <c r="K67" i="2"/>
  <c r="D387" i="2"/>
  <c r="G387" i="2" s="1"/>
  <c r="F387" i="2"/>
  <c r="B388" i="2" s="1"/>
  <c r="B19" i="4"/>
  <c r="B23" i="4"/>
  <c r="B16" i="4"/>
  <c r="F385" i="4"/>
  <c r="B386" i="4" s="1"/>
  <c r="D388" i="2" l="1"/>
  <c r="G388" i="2" s="1"/>
  <c r="F386" i="4"/>
  <c r="B387" i="4" s="1"/>
  <c r="D386" i="4"/>
  <c r="G386" i="4" s="1"/>
  <c r="F68" i="2"/>
  <c r="I68" i="2"/>
  <c r="F285" i="2"/>
  <c r="B286" i="2" s="1"/>
  <c r="C69" i="2" l="1"/>
  <c r="K68" i="2"/>
  <c r="M68" i="2"/>
  <c r="D387" i="4"/>
  <c r="G387" i="4" s="1"/>
  <c r="D286" i="2"/>
  <c r="G286" i="2" s="1"/>
  <c r="F388" i="2"/>
  <c r="B389" i="2" s="1"/>
  <c r="D389" i="2" l="1"/>
  <c r="G389" i="2" s="1"/>
  <c r="F286" i="2"/>
  <c r="B287" i="2" s="1"/>
  <c r="F387" i="4"/>
  <c r="B388" i="4" s="1"/>
  <c r="F69" i="2"/>
  <c r="I69" i="2" s="1"/>
  <c r="M69" i="2" l="1"/>
  <c r="K69" i="2"/>
  <c r="C70" i="2"/>
  <c r="D388" i="4"/>
  <c r="G388" i="4" s="1"/>
  <c r="D287" i="2"/>
  <c r="G287" i="2" s="1"/>
  <c r="F389" i="2"/>
  <c r="F287" i="2" l="1"/>
  <c r="B288" i="2" s="1"/>
  <c r="F70" i="2"/>
  <c r="I70" i="2" s="1"/>
  <c r="F388" i="4"/>
  <c r="B389" i="4" s="1"/>
  <c r="C71" i="2" l="1"/>
  <c r="K70" i="2"/>
  <c r="M70" i="2"/>
  <c r="D389" i="4"/>
  <c r="G389" i="4" s="1"/>
  <c r="D21" i="4" s="1"/>
  <c r="D22" i="4" s="1"/>
  <c r="D288" i="2"/>
  <c r="G288" i="2" s="1"/>
  <c r="F288" i="2" l="1"/>
  <c r="F389" i="4"/>
  <c r="F71" i="2"/>
  <c r="I71" i="2" s="1"/>
  <c r="K71" i="2" l="1"/>
  <c r="C72" i="2"/>
  <c r="M71" i="2"/>
  <c r="D19" i="4"/>
  <c r="D23" i="4"/>
  <c r="D16" i="4"/>
  <c r="F72" i="2" l="1"/>
  <c r="I72" i="2"/>
  <c r="C73" i="2" l="1"/>
  <c r="K72" i="2"/>
  <c r="M72" i="2"/>
  <c r="F73" i="2" l="1"/>
  <c r="I73" i="2" s="1"/>
  <c r="M73" i="2" l="1"/>
  <c r="C74" i="2"/>
  <c r="K73" i="2"/>
  <c r="F74" i="2" l="1"/>
  <c r="I74" i="2" s="1"/>
  <c r="K74" i="2" l="1"/>
  <c r="M74" i="2"/>
  <c r="C75" i="2"/>
  <c r="F75" i="2" l="1"/>
  <c r="I75" i="2"/>
  <c r="C76" i="2" l="1"/>
  <c r="M75" i="2"/>
  <c r="K75" i="2"/>
  <c r="F76" i="2" l="1"/>
  <c r="I76" i="2"/>
  <c r="C77" i="2" l="1"/>
  <c r="M76" i="2"/>
  <c r="K76" i="2"/>
  <c r="F77" i="2" l="1"/>
  <c r="I77" i="2"/>
  <c r="C78" i="2" l="1"/>
  <c r="M77" i="2"/>
  <c r="K77" i="2"/>
  <c r="F78" i="2" l="1"/>
  <c r="I78" i="2"/>
  <c r="C79" i="2" l="1"/>
  <c r="M78" i="2"/>
  <c r="K78" i="2"/>
  <c r="F79" i="2" l="1"/>
  <c r="I79" i="2"/>
  <c r="C80" i="2" l="1"/>
  <c r="M79" i="2"/>
  <c r="K79" i="2"/>
  <c r="I80" i="2" l="1"/>
  <c r="F80" i="2"/>
  <c r="C81" i="2" l="1"/>
  <c r="M80" i="2"/>
  <c r="K80" i="2"/>
  <c r="F81" i="2" l="1"/>
  <c r="I81" i="2"/>
  <c r="C82" i="2" l="1"/>
  <c r="M81" i="2"/>
  <c r="K81" i="2"/>
  <c r="F82" i="2" l="1"/>
  <c r="I82" i="2" s="1"/>
  <c r="C83" i="2" l="1"/>
  <c r="M82" i="2"/>
  <c r="K82" i="2"/>
  <c r="F83" i="2" l="1"/>
  <c r="I83" i="2"/>
  <c r="M83" i="2" l="1"/>
  <c r="C84" i="2"/>
  <c r="K83" i="2"/>
  <c r="F84" i="2" l="1"/>
  <c r="I84" i="2" s="1"/>
  <c r="M84" i="2" l="1"/>
  <c r="K84" i="2"/>
  <c r="C85" i="2"/>
  <c r="F85" i="2" l="1"/>
  <c r="J18" i="2" s="1" a="1"/>
  <c r="J18" i="2" s="1"/>
  <c r="J19" i="2" l="1"/>
  <c r="D13" i="1" s="1"/>
  <c r="D11" i="1"/>
  <c r="I85" i="2"/>
  <c r="M85" i="2" l="1"/>
  <c r="D17" i="1"/>
  <c r="D9" i="1"/>
  <c r="D7" i="1"/>
  <c r="J15" i="2"/>
  <c r="J12" i="2" s="1"/>
  <c r="K85" i="2"/>
</calcChain>
</file>

<file path=xl/sharedStrings.xml><?xml version="1.0" encoding="utf-8"?>
<sst xmlns="http://schemas.openxmlformats.org/spreadsheetml/2006/main" count="162" uniqueCount="144">
  <si>
    <t>CAR LIFE CYCLE FUND CALCULATOR</t>
  </si>
  <si>
    <t>PROJECTION SUMMARY</t>
  </si>
  <si>
    <t>Starting Age</t>
  </si>
  <si>
    <t>Total Contributed</t>
  </si>
  <si>
    <t>Years to Project</t>
  </si>
  <si>
    <t>Monthly Contribution ($)</t>
  </si>
  <si>
    <t>Total Car Purchases</t>
  </si>
  <si>
    <t>Annual Return Fund Estimate (%)</t>
  </si>
  <si>
    <t>Annual Inflation Average (%)</t>
  </si>
  <si>
    <t>Total Interest Earned</t>
  </si>
  <si>
    <t>Initial Vehicle Price ($) Today's Price</t>
  </si>
  <si>
    <t>Vehicle Replacement Cycle (years) Enter a number greater than 0.</t>
  </si>
  <si>
    <t>Fund Balance at End of Projection</t>
  </si>
  <si>
    <r>
      <rPr>
        <b/>
        <sz val="11"/>
        <color rgb="FF1B2A4A"/>
        <rFont val="Calibri"/>
        <family val="2"/>
        <charset val="1"/>
      </rPr>
      <t xml:space="preserve">Starting Fund Balance ($) </t>
    </r>
    <r>
      <rPr>
        <i/>
        <sz val="8"/>
        <color rgb="FF1B2A4A"/>
        <rFont val="Calibri"/>
        <family val="2"/>
        <charset val="1"/>
      </rPr>
      <t>Front Loading</t>
    </r>
  </si>
  <si>
    <t>Annual Contribution Change (%)  Enter 0% to keep payment fixed. Positive = yearly increase. Negative = yearly decrease.</t>
  </si>
  <si>
    <t>Compounding Maturity — Fund Year</t>
  </si>
  <si>
    <t>RESULTS SUMMARY</t>
  </si>
  <si>
    <t>Enter values in the green cells.  See the Notes sheet for definitions.</t>
  </si>
  <si>
    <t>Compounding Maturity — Age</t>
  </si>
  <si>
    <t>Age at End of Projection</t>
  </si>
  <si>
    <t>Fund Health Ratio at End</t>
  </si>
  <si>
    <t>CAR LIFE CYCLE FUND  —  YEAR BY YEAR PROJECTION</t>
  </si>
  <si>
    <t>Year</t>
  </si>
  <si>
    <t>Age</t>
  </si>
  <si>
    <t>Start Balance</t>
  </si>
  <si>
    <t>Annual Contribution</t>
  </si>
  <si>
    <t>Monthly Payment</t>
  </si>
  <si>
    <t>Investment Return</t>
  </si>
  <si>
    <t>Inflated Car Price</t>
  </si>
  <si>
    <t>Car Purchase</t>
  </si>
  <si>
    <t>End Balance</t>
  </si>
  <si>
    <t>Summary</t>
  </si>
  <si>
    <t>Fund Health
Ratio</t>
  </si>
  <si>
    <t>Total Purchases over</t>
  </si>
  <si>
    <t>Years</t>
  </si>
  <si>
    <t>Compounding Maturity</t>
  </si>
  <si>
    <t>Year investment return first exceeds annual contribution</t>
  </si>
  <si>
    <t>Car Life Cycle Fund Calculator — Notes &amp; Definitions</t>
  </si>
  <si>
    <t>HOW TO USE THIS CALCULATOR</t>
  </si>
  <si>
    <t>Step 1</t>
  </si>
  <si>
    <t>Go to the Inputs sheet. Enter your values in the green cells.</t>
  </si>
  <si>
    <t>Step 2</t>
  </si>
  <si>
    <t>All results update automatically — no other changes needed.</t>
  </si>
  <si>
    <t>Step 3</t>
  </si>
  <si>
    <t>Go to the Projection sheet to see the full year-by-year table.</t>
  </si>
  <si>
    <t>Model type</t>
  </si>
  <si>
    <t>This calculator uses a simplified annual projection model based on monthly contributions. Monthly contributions are converted to an annual amount and compounded once per year. This is conservative and intentional — it does not overstate results.</t>
  </si>
  <si>
    <t>Important</t>
  </si>
  <si>
    <t>Projected returns are long-term averages, not yearly guarantees. Actual investment returns will vary year to year.</t>
  </si>
  <si>
    <t>INPUT FIELD DEFINITIONS</t>
  </si>
  <si>
    <t>Your current age. The projection begins at this age and runs forward for the number of years you specify.</t>
  </si>
  <si>
    <t>How many years to run the projection. Maximum supported is 100 years. To project to age 100, subtract your current age from 100 and add 1. Example: age 63 = enter 38 (63 + 38 - 1 = 100). Age 45 = enter 56. Age 30 = enter 71. Always project to age 100 — overestimating is recoverable, underestimating is not.</t>
  </si>
  <si>
    <t>The amount you contribute to the fund each month in today's dollars. This is your base payment. If Annual Contribution Change is set above 0%, this amount will grow each year.</t>
  </si>
  <si>
    <t>Annual Return Fund Est. (%)</t>
  </si>
  <si>
    <t>Your estimated average annual investment return. 7% is a common long-term assumption for a diversified stock index fund. This is not guaranteed — it is a planning estimate.</t>
  </si>
  <si>
    <t>The average yearly rate at which vehicle prices are expected to increase. 3% is a reasonable long-term estimate. This affects the inflated car price shown in the projection, not the fund growth rate.</t>
  </si>
  <si>
    <t>Initial Vehicle Price ($) — Today's Price</t>
  </si>
  <si>
    <t>The price of the vehicle you plan to purchase, in today's dollars. The calculator inflates this price each year using the Annual Inflation Average to show what that vehicle will cost at the time of purchase.</t>
  </si>
  <si>
    <t>Vehicle Replacement Cycle (years)</t>
  </si>
  <si>
    <t>How often you plan to replace your vehicle. Enter a whole number greater than zero. Example: 7 means you purchase a new vehicle every 7 years. The first purchase occurs at the end of year 7, the next at year 14, and so on. Must be a whole number greater than 0. Entering 0 will disable vehicle purchases.
Tip: To model fund growth with no vehicle purchases — for example to see pure compounding without any deductions — enter a replacement cycle number greater than your Years to Project. Example: if Years to Project is 37, enter 38 or higher. No purchase events will occur and the full projection shows uninterrupted growth.</t>
  </si>
  <si>
    <t>Starting Fund Balance ($)</t>
  </si>
  <si>
    <t>If you already have money saved toward this fund, enter that amount here. Enter 0 if you are starting from scratch.</t>
  </si>
  <si>
    <t>Annual Contribution Change (%)</t>
  </si>
  <si>
    <t>Enter 0% to keep your monthly payment fixed for the entire projection.
Enter a positive number (e.g. 2) to increase your contribution by that percentage each year — useful if you expect your income to grow.
Enter a negative number (e.g. -1) to decrease your contribution each year — useful for modeling reduced income in later years.
The Monthly Payment Amount column on the Projection sheet shows the resulting payment for each year.</t>
  </si>
  <si>
    <t>SUMMARY FIELD DEFINITIONS</t>
  </si>
  <si>
    <t>The total value of the fund at the final year of the projection, after all contributions, investment returns, and vehicle purchase deductions.</t>
  </si>
  <si>
    <t>Your age at the last year of the projection. Calculated as Starting Age + Years to Project - 1.</t>
  </si>
  <si>
    <t>The first year in the projection where the annual investment return exceeds the annual contribution for that year. This is the point at which the fund's growth engine begins doing more work than your monthly payment. If this milestone is not reached within the projection window, the cell displays "Not reached".</t>
  </si>
  <si>
    <t>Your age in the year Compounding Maturity is reached. If not reached within the projection window, displays "Not reached".</t>
  </si>
  <si>
    <t>PROJECTION SHEET — COLUMN DEFINITIONS</t>
  </si>
  <si>
    <t>How Long Fund Has Been Active</t>
  </si>
  <si>
    <t>The year number of the projection, starting at 1. Rows beyond the Years to Project input are left blank.</t>
  </si>
  <si>
    <t>Persons Age</t>
  </si>
  <si>
    <t>Your age in each projection year. Calculated as Starting Age + Fund Year - 1.</t>
  </si>
  <si>
    <t>Start Balance Each Year</t>
  </si>
  <si>
    <t>The fund balance at the beginning of each year, which equals the End Balance from the prior year.</t>
  </si>
  <si>
    <t>Contribution (Annual)</t>
  </si>
  <si>
    <t>The total amount contributed to the fund during that year. In year 1 this equals Monthly Contribution × 12. If Annual Contribution Change is non-zero, this amount grows or shrinks each subsequent year.</t>
  </si>
  <si>
    <t>Monthly Payment Amount</t>
  </si>
  <si>
    <t>The annual contribution divided by 12. Shows the effective monthly payment for each year of the projection. When Annual Contribution Change is 0%, this stays flat. When non-zero, it changes each year.</t>
  </si>
  <si>
    <t>Investment Return for That Year</t>
  </si>
  <si>
    <t>The investment gain earned during the year, calculated as Start Balance × Annual Return %. Note: the return is applied to the start balance only, not the contributions made during the year. This is the simplified annual model.</t>
  </si>
  <si>
    <t>Max Car Price This Year</t>
  </si>
  <si>
    <t>The inflation-adjusted vehicle price for that year, shown only in years when a purchase is due. Calculated as Initial Vehicle Price × (1 + Annual Inflation %)^Year.</t>
  </si>
  <si>
    <t>Car Purchase (Outflow)</t>
  </si>
  <si>
    <t>The amount deducted from the fund to purchase a vehicle. Equals the Max Car Price in purchase years, zero in all other years.</t>
  </si>
  <si>
    <t>The fund balance at the end of the year. Calculated as: Start Balance + Annual Contribution + Investment Return − Car Purchase.</t>
  </si>
  <si>
    <t>Fund Health Ratio</t>
  </si>
  <si>
    <t>The fund balance divided by the inflation-adjusted vehicle price for that year. Shows how many cars the fund could theoretically purchase at any given point.
A ratio below 1.0x means the fund cannot yet cover one car purchase on its own.
A ratio of 1.0x means the fund can cover exactly one car.
A ratio of 2.0x or higher indicates a maturing fund — growth is beginning to outpace the cost of vehicles.
In early years the ratio will be low. Watch for the ratio to cross 1.0x as a meaningful milestone, and 2.0x as a sign the fund is operating as intended.</t>
  </si>
  <si>
    <t>COMPOUNDING MATURITY — EXPLAINED</t>
  </si>
  <si>
    <t>What it means</t>
  </si>
  <si>
    <t>Compounding Maturity is the point at which investment growth becomes a significant driver of the fund's performance rather than contributions alone.
In the early years of the fund, your monthly contributions do most of the work. The balance is small, so investment returns are small. As the balance grows, the annual return eventually exceeds what you are contributing each month.
That crossover point — Compounding Maturity — is when the fund begins to feel self-sustaining. The first cycle builds the machine. Later cycles benefit from the machine.
Important: If the projection window is too short, or the return rate is too low relative to contributions, this milestone may not be reached. Both Compounding Maturity cells will display "Not reached" in that case — not an error, just a signal to extend the projection or adjust inputs.</t>
  </si>
  <si>
    <t>DISCLAIMER</t>
  </si>
  <si>
    <t>Legal</t>
  </si>
  <si>
    <t>This calculator is provided for planning and educational purposes only. It is not financial advice. Projected investment returns are estimates based on long-term historical averages and are not guaranteed. Actual results will vary based on market performance, contribution consistency, vehicle costs, and other factors. Consult a qualified financial advisor before making investment or purchasing decisions.</t>
  </si>
  <si>
    <t>SCENARIOS SHEET</t>
  </si>
  <si>
    <t>Purpose</t>
  </si>
  <si>
    <t>The Scenarios sheet shows three side-by-side projections using fixed assumptions. It is independent of the Inputs sheet — changing your inputs does not affect the scenario results.</t>
  </si>
  <si>
    <t>Conservative (5% / 3%)</t>
  </si>
  <si>
    <t>5% annual return, 3% inflation. Represents a cautious estimate — lower market performance or a heavier bond allocation. Fund ends at approximately $74,000 after 37 years with a health ratio of 1.2x.</t>
  </si>
  <si>
    <t>Moderate (7% / 3%)</t>
  </si>
  <si>
    <t>7% annual return, 3% inflation. The standard planning assumption for a diversified index fund portfolio. Matches the default Inputs sheet settings. Fund ends at approximately $180,000 with a health ratio of 3.0x.</t>
  </si>
  <si>
    <t>Aggressive (9% / 2%)</t>
  </si>
  <si>
    <t>9% annual return, 2% inflation. Represents strong long-term equity performance with modest inflation. Fund ends at approximately $500,000 with a health ratio of 12.0x — the legacy effect becomes clearly visible at this return level.</t>
  </si>
  <si>
    <t>How to use it</t>
  </si>
  <si>
    <t>Use this sheet to show buyers or family members the range of outcomes. The Moderate scenario matches the Inputs sheet default. The gap between Conservative and Aggressive illustrates why return rate is the most powerful variable in the system.</t>
  </si>
  <si>
    <t>Car Life Cycle Fund — Scenario Comparison</t>
  </si>
  <si>
    <t>Conservative and Aggressive scenarios use your inputs with the annual return adjusted −2% and +2% respectively. All other values match your Inputs sheet exactly.</t>
  </si>
  <si>
    <t>▼  Conservative
(Return −2%)</t>
  </si>
  <si>
    <t>◆  Moderate
(Your Inputs)</t>
  </si>
  <si>
    <t>▲  Aggressive
(Return +2%)</t>
  </si>
  <si>
    <t>Annual Return (%)</t>
  </si>
  <si>
    <t>Annual Inflation (%)</t>
  </si>
  <si>
    <t>Initial Vehicle Price ($)</t>
  </si>
  <si>
    <t>Replacement Cycle (years)</t>
  </si>
  <si>
    <t>PROJECTION RESULTS</t>
  </si>
  <si>
    <t>Fund Balance at End</t>
  </si>
  <si>
    <t>Total Vehicle Purchases</t>
  </si>
  <si>
    <t>Number of Car Purchases</t>
  </si>
  <si>
    <t>Compounding Maturity Year</t>
  </si>
  <si>
    <t>Compounding Maturity Age</t>
  </si>
  <si>
    <t>Final Fund Health Ratio</t>
  </si>
  <si>
    <t>Results use a simplified annual projection model. Conservative = your return rate minus 2%. Aggressive = your return rate plus 2%. Projected returns are estimates only and are not guaranteed.</t>
  </si>
  <si>
    <t>_C_Year</t>
  </si>
  <si>
    <t>_C_StartBal</t>
  </si>
  <si>
    <t>_C_AnnContrib</t>
  </si>
  <si>
    <t>_C_InvReturn</t>
  </si>
  <si>
    <t>_C_CarPurchase</t>
  </si>
  <si>
    <t>_C_EndBalance</t>
  </si>
  <si>
    <t>_C_Mature</t>
  </si>
  <si>
    <t>_M_Year</t>
  </si>
  <si>
    <t>_M_StartBal</t>
  </si>
  <si>
    <t>_M_AnnContrib</t>
  </si>
  <si>
    <t>_M_InvReturn</t>
  </si>
  <si>
    <t>_M_CarPurchase</t>
  </si>
  <si>
    <t>_M_EndBalance</t>
  </si>
  <si>
    <t>_M_Mature</t>
  </si>
  <si>
    <t>_A_Year</t>
  </si>
  <si>
    <t>_A_StartBal</t>
  </si>
  <si>
    <t>_A_AnnContrib</t>
  </si>
  <si>
    <t>_A_InvReturn</t>
  </si>
  <si>
    <t>_A_CarPurchase</t>
  </si>
  <si>
    <t>_A_EndBalance</t>
  </si>
  <si>
    <t>_A_Mature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</si>
</sst>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Red]&quot;-$&quot;#,##0.00"/>
    <numFmt numFmtId="165" formatCode="_(\$* #,##0.00_);_(\$* \(#,##0.00\);_(\$* \-??_);_(@_)"/>
    <numFmt numFmtId="166" formatCode="\$#,##0.00_);&quot;($&quot;#,##0.00\)"/>
    <numFmt numFmtId="167" formatCode="0&quot; yrs old&quot;"/>
    <numFmt numFmtId="168" formatCode="0.0\x"/>
    <numFmt numFmtId="169" formatCode="[$$-409]#,##0.00;[Red]\-[$$-409]#,##0.00"/>
    <numFmt numFmtId="170" formatCode="\$#,##0"/>
    <numFmt numFmtId="171" formatCode="0.0%"/>
  </numFmts>
  <fonts count="15" x14ac:knownFonts="1">
    <font>
      <sz val="11"/>
      <color theme="1"/>
      <name val="Calibri"/>
      <charset val="1"/>
    </font>
    <font>
      <b/>
      <sz val="16"/>
      <color rgb="FFFFFFFF"/>
      <name val="Calibri"/>
      <charset val="1"/>
    </font>
    <font>
      <b/>
      <sz val="11"/>
      <color rgb="FFFFFFFF"/>
      <name val="Calibri"/>
      <charset val="1"/>
    </font>
    <font>
      <b/>
      <sz val="11"/>
      <color rgb="FF1B2A4A"/>
      <name val="Calibri"/>
      <family val="2"/>
      <charset val="1"/>
    </font>
    <font>
      <b/>
      <sz val="11"/>
      <color rgb="FF1B2A4A"/>
      <name val="Calibri"/>
      <charset val="1"/>
    </font>
    <font>
      <sz val="10"/>
      <color rgb="FF1B2A4A"/>
      <name val="Calibri"/>
      <charset val="1"/>
    </font>
    <font>
      <b/>
      <sz val="10"/>
      <color rgb="FF1B2A4A"/>
      <name val="Calibri"/>
      <charset val="1"/>
    </font>
    <font>
      <sz val="11"/>
      <color rgb="FF1B2A4A"/>
      <name val="Calibri"/>
      <family val="2"/>
      <charset val="1"/>
    </font>
    <font>
      <i/>
      <sz val="8"/>
      <color rgb="FF1B2A4A"/>
      <name val="Calibri"/>
      <family val="2"/>
      <charset val="1"/>
    </font>
    <font>
      <b/>
      <sz val="10"/>
      <color rgb="FFFFFFFF"/>
      <name val="Calibri"/>
      <charset val="1"/>
    </font>
    <font>
      <i/>
      <sz val="9"/>
      <color rgb="FF6B7A8D"/>
      <name val="Calibri"/>
      <charset val="1"/>
    </font>
    <font>
      <b/>
      <i/>
      <sz val="11"/>
      <color theme="1"/>
      <name val="Calibri"/>
      <charset val="1"/>
    </font>
    <font>
      <b/>
      <sz val="11"/>
      <color theme="1"/>
      <name val="Calibri"/>
      <charset val="1"/>
    </font>
    <font>
      <b/>
      <sz val="13"/>
      <color rgb="FFFFFFFF"/>
      <name val="Calibri"/>
      <charset val="1"/>
    </font>
    <font>
      <sz val="1"/>
      <color rgb="FFFFFFFF"/>
      <name val="Calibri"/>
      <charset val="1"/>
    </font>
  </fonts>
  <fills count="14">
    <fill>
      <patternFill patternType="none"/>
    </fill>
    <fill>
      <patternFill patternType="gray125"/>
    </fill>
    <fill>
      <patternFill patternType="solid">
        <fgColor rgb="FF1B2A4A"/>
        <bgColor rgb="FF2E4057"/>
      </patternFill>
    </fill>
    <fill>
      <patternFill patternType="solid">
        <fgColor rgb="FFFFFFFF"/>
        <bgColor rgb="FFF5F6F8"/>
      </patternFill>
    </fill>
    <fill>
      <patternFill patternType="solid">
        <fgColor rgb="FF4A6FA5"/>
        <bgColor rgb="FF6B7A8D"/>
      </patternFill>
    </fill>
    <fill>
      <patternFill patternType="solid">
        <fgColor rgb="FFF0F3F7"/>
        <bgColor rgb="FFF5F6F8"/>
      </patternFill>
    </fill>
    <fill>
      <patternFill patternType="solid">
        <fgColor rgb="FFD6EAD7"/>
        <bgColor rgb="FFD6E4F0"/>
      </patternFill>
    </fill>
    <fill>
      <patternFill patternType="solid">
        <fgColor theme="9" tint="0.39939573351237523"/>
        <bgColor rgb="FFD9D9D9"/>
      </patternFill>
    </fill>
    <fill>
      <patternFill patternType="solid">
        <fgColor rgb="FFF5F6F8"/>
        <bgColor rgb="FFF0F3F7"/>
      </patternFill>
    </fill>
    <fill>
      <patternFill patternType="solid">
        <fgColor rgb="FFFFFF00"/>
        <bgColor rgb="FFFFFF00"/>
      </patternFill>
    </fill>
    <fill>
      <patternFill patternType="solid">
        <fgColor rgb="FF2E4057"/>
        <bgColor rgb="FF1B2A4A"/>
      </patternFill>
    </fill>
    <fill>
      <patternFill patternType="solid">
        <fgColor rgb="FFD6E4F0"/>
        <bgColor rgb="FFD6EAD7"/>
      </patternFill>
    </fill>
    <fill>
      <patternFill patternType="solid">
        <fgColor rgb="FFFCE8D5"/>
        <bgColor rgb="FFFFF3CD"/>
      </patternFill>
    </fill>
    <fill>
      <patternFill patternType="solid">
        <fgColor rgb="FFFFF3CD"/>
        <bgColor rgb="FFFCE8D5"/>
      </patternFill>
    </fill>
  </fills>
  <borders count="10">
    <border>
      <left/>
      <right/>
      <top/>
      <bottom/>
      <diagonal/>
    </border>
    <border>
      <left/>
      <right style="thin">
        <color rgb="FFD0D7E0"/>
      </right>
      <top/>
      <bottom/>
      <diagonal/>
    </border>
    <border>
      <left style="thin">
        <color rgb="FFD0D7E0"/>
      </left>
      <right/>
      <top style="thin">
        <color rgb="FFD0D7E0"/>
      </top>
      <bottom style="thin">
        <color rgb="FFD0D7E0"/>
      </bottom>
      <diagonal/>
    </border>
    <border>
      <left style="thin">
        <color rgb="FFD0D7E0"/>
      </left>
      <right style="thin">
        <color rgb="FFD0D7E0"/>
      </right>
      <top style="medium">
        <color rgb="FF8FA8C0"/>
      </top>
      <bottom style="medium">
        <color rgb="FF8FA8C0"/>
      </bottom>
      <diagonal/>
    </border>
    <border>
      <left style="thin">
        <color rgb="FFD0D7E0"/>
      </left>
      <right style="thin">
        <color rgb="FFD0D7E0"/>
      </right>
      <top style="thin">
        <color rgb="FFD0D7E0"/>
      </top>
      <bottom style="thin">
        <color rgb="FFD0D7E0"/>
      </bottom>
      <diagonal/>
    </border>
    <border>
      <left/>
      <right style="thin">
        <color rgb="FFD0D7E0"/>
      </right>
      <top style="thin">
        <color rgb="FFD0D7E0"/>
      </top>
      <bottom style="thin">
        <color rgb="FFD0D7E0"/>
      </bottom>
      <diagonal/>
    </border>
    <border>
      <left/>
      <right style="thin">
        <color rgb="FFD0D7E0"/>
      </right>
      <top/>
      <bottom style="medium">
        <color rgb="FF8FA8C0"/>
      </bottom>
      <diagonal/>
    </border>
    <border>
      <left/>
      <right style="thin">
        <color rgb="FFD0D7E0"/>
      </right>
      <top/>
      <bottom style="thin">
        <color rgb="FFD0D7E0"/>
      </bottom>
      <diagonal/>
    </border>
    <border>
      <left/>
      <right/>
      <top/>
      <bottom style="thin">
        <color rgb="FFD0D7E0"/>
      </bottom>
      <diagonal/>
    </border>
    <border>
      <left/>
      <right/>
      <top/>
      <bottom style="medium">
        <color rgb="FF8FA8C0"/>
      </bottom>
      <diagonal/>
    </border>
  </borders>
  <cellStyleXfs count="1">
    <xf numFmtId="0" fontId="0" fillId="0" borderId="0"/>
  </cellStyleXfs>
  <cellXfs count="99">
    <xf numFmtId="0" fontId="0" fillId="0" borderId="0" xfId="0"/>
    <xf numFmtId="0" fontId="0" fillId="0" borderId="0" xfId="0" applyAlignment="1" applyProtection="1"/>
    <xf numFmtId="0" fontId="1" fillId="3" borderId="2" xfId="0" applyFont="1" applyFill="1" applyBorder="1" applyAlignment="1" applyProtection="1">
      <alignment horizontal="center" vertical="center"/>
    </xf>
    <xf numFmtId="0" fontId="2" fillId="4" borderId="3" xfId="0" applyFont="1" applyFill="1" applyBorder="1" applyAlignment="1" applyProtection="1">
      <alignment horizontal="center" vertical="center"/>
    </xf>
    <xf numFmtId="0" fontId="3" fillId="5" borderId="4" xfId="0" applyFont="1" applyFill="1" applyBorder="1" applyAlignment="1" applyProtection="1">
      <alignment horizontal="left" vertical="center" wrapText="1"/>
    </xf>
    <xf numFmtId="0" fontId="4" fillId="6" borderId="4"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xf>
    <xf numFmtId="0" fontId="5" fillId="7" borderId="4" xfId="0" applyFont="1" applyFill="1" applyBorder="1" applyAlignment="1" applyProtection="1">
      <alignment horizontal="left" vertical="center"/>
    </xf>
    <xf numFmtId="0" fontId="3" fillId="8" borderId="4" xfId="0" applyFont="1" applyFill="1" applyBorder="1" applyAlignment="1" applyProtection="1">
      <alignment horizontal="left" vertical="center" wrapText="1"/>
    </xf>
    <xf numFmtId="164" fontId="5" fillId="8" borderId="4" xfId="0" applyNumberFormat="1" applyFont="1" applyFill="1" applyBorder="1" applyAlignment="1" applyProtection="1">
      <alignment horizontal="right" vertical="center"/>
    </xf>
    <xf numFmtId="165" fontId="4" fillId="6" borderId="4" xfId="0" applyNumberFormat="1" applyFont="1" applyFill="1" applyBorder="1" applyAlignment="1" applyProtection="1">
      <alignment horizontal="center" vertical="center" wrapText="1"/>
      <protection locked="0"/>
    </xf>
    <xf numFmtId="165" fontId="4" fillId="3" borderId="2" xfId="0" applyNumberFormat="1" applyFont="1" applyFill="1" applyBorder="1" applyAlignment="1" applyProtection="1">
      <alignment horizontal="center" vertical="center" wrapText="1"/>
    </xf>
    <xf numFmtId="0" fontId="6" fillId="7" borderId="4" xfId="0" applyFont="1" applyFill="1" applyBorder="1" applyAlignment="1" applyProtection="1">
      <alignment horizontal="left" vertical="center"/>
    </xf>
    <xf numFmtId="0" fontId="7" fillId="5" borderId="4" xfId="0" applyFont="1" applyFill="1" applyBorder="1" applyAlignment="1" applyProtection="1">
      <alignment horizontal="left" vertical="center" wrapText="1"/>
    </xf>
    <xf numFmtId="165" fontId="6" fillId="7" borderId="4" xfId="0" applyNumberFormat="1" applyFont="1" applyFill="1" applyBorder="1" applyAlignment="1" applyProtection="1">
      <alignment horizontal="left" vertical="center"/>
    </xf>
    <xf numFmtId="166" fontId="4" fillId="6" borderId="4" xfId="0" applyNumberFormat="1" applyFont="1" applyFill="1" applyBorder="1" applyAlignment="1" applyProtection="1">
      <alignment horizontal="center" vertical="center" wrapText="1"/>
      <protection locked="0"/>
    </xf>
    <xf numFmtId="166" fontId="4" fillId="3" borderId="2" xfId="0" applyNumberFormat="1" applyFont="1" applyFill="1" applyBorder="1" applyAlignment="1" applyProtection="1">
      <alignment horizontal="center" vertical="center" wrapText="1"/>
    </xf>
    <xf numFmtId="164" fontId="5" fillId="9" borderId="4" xfId="0" applyNumberFormat="1" applyFont="1" applyFill="1" applyBorder="1" applyAlignment="1" applyProtection="1">
      <alignment horizontal="right" vertical="center"/>
    </xf>
    <xf numFmtId="0" fontId="9" fillId="3" borderId="2" xfId="0" applyFont="1" applyFill="1" applyBorder="1" applyAlignment="1" applyProtection="1">
      <alignment horizontal="center" vertical="center" wrapText="1"/>
    </xf>
    <xf numFmtId="1" fontId="5" fillId="8" borderId="4" xfId="0" applyNumberFormat="1" applyFont="1" applyFill="1" applyBorder="1" applyAlignment="1" applyProtection="1">
      <alignment horizontal="right" vertical="center"/>
    </xf>
    <xf numFmtId="0" fontId="10" fillId="3" borderId="2" xfId="0" applyFont="1" applyFill="1" applyBorder="1" applyAlignment="1" applyProtection="1">
      <alignment horizontal="left" vertical="center"/>
    </xf>
    <xf numFmtId="0" fontId="0" fillId="3" borderId="4" xfId="0" applyFill="1" applyBorder="1" applyAlignment="1" applyProtection="1"/>
    <xf numFmtId="0" fontId="0" fillId="3" borderId="2" xfId="0" applyFill="1" applyBorder="1" applyAlignment="1" applyProtection="1"/>
    <xf numFmtId="167" fontId="5" fillId="7" borderId="4" xfId="0" applyNumberFormat="1" applyFont="1" applyFill="1" applyBorder="1" applyAlignment="1" applyProtection="1">
      <alignment horizontal="left" vertical="center"/>
    </xf>
    <xf numFmtId="168" fontId="5" fillId="8" borderId="4" xfId="0" applyNumberFormat="1" applyFont="1" applyFill="1" applyBorder="1" applyAlignment="1" applyProtection="1">
      <alignment horizontal="right" vertical="center"/>
    </xf>
    <xf numFmtId="0" fontId="11" fillId="3" borderId="4" xfId="0" applyFont="1" applyFill="1" applyBorder="1" applyAlignment="1" applyProtection="1"/>
    <xf numFmtId="168" fontId="5" fillId="3" borderId="4" xfId="0" applyNumberFormat="1" applyFont="1" applyFill="1" applyBorder="1" applyAlignment="1" applyProtection="1">
      <alignment horizontal="center" vertical="center"/>
    </xf>
    <xf numFmtId="169" fontId="0" fillId="3" borderId="4" xfId="0" applyNumberFormat="1" applyFill="1" applyBorder="1" applyAlignment="1" applyProtection="1">
      <alignment horizontal="center"/>
    </xf>
    <xf numFmtId="164" fontId="0" fillId="3" borderId="4" xfId="0" applyNumberFormat="1" applyFill="1" applyBorder="1" applyAlignment="1" applyProtection="1">
      <alignment horizontal="center"/>
    </xf>
    <xf numFmtId="0" fontId="0" fillId="0" borderId="4" xfId="0" applyBorder="1" applyAlignment="1" applyProtection="1"/>
    <xf numFmtId="169" fontId="0" fillId="0" borderId="4" xfId="0" applyNumberFormat="1" applyBorder="1" applyAlignment="1" applyProtection="1">
      <alignment horizontal="center"/>
    </xf>
    <xf numFmtId="164" fontId="0" fillId="0" borderId="4" xfId="0" applyNumberFormat="1" applyBorder="1" applyAlignment="1" applyProtection="1">
      <alignment horizontal="center"/>
    </xf>
    <xf numFmtId="0" fontId="12" fillId="0" borderId="4" xfId="0" applyFont="1" applyBorder="1" applyAlignment="1" applyProtection="1">
      <alignment horizontal="center"/>
    </xf>
    <xf numFmtId="0" fontId="0" fillId="0" borderId="2" xfId="0" applyBorder="1" applyAlignment="1" applyProtection="1"/>
    <xf numFmtId="0" fontId="0" fillId="0" borderId="5" xfId="0" applyBorder="1" applyAlignment="1" applyProtection="1"/>
    <xf numFmtId="169" fontId="0" fillId="0" borderId="0" xfId="0" applyNumberFormat="1" applyAlignment="1" applyProtection="1">
      <alignment horizontal="center"/>
    </xf>
    <xf numFmtId="164" fontId="0" fillId="0" borderId="0" xfId="0" applyNumberFormat="1" applyAlignment="1" applyProtection="1">
      <alignment horizontal="center"/>
    </xf>
    <xf numFmtId="0" fontId="0" fillId="0" borderId="0" xfId="0" applyAlignment="1" applyProtection="1">
      <alignment horizontal="right"/>
    </xf>
    <xf numFmtId="0" fontId="9" fillId="4" borderId="6" xfId="0" applyFont="1" applyFill="1" applyBorder="1" applyAlignment="1" applyProtection="1">
      <alignment horizontal="center" vertical="center" wrapText="1"/>
    </xf>
    <xf numFmtId="1" fontId="5" fillId="3" borderId="7" xfId="0" applyNumberFormat="1" applyFont="1" applyFill="1" applyBorder="1" applyAlignment="1" applyProtection="1">
      <alignment horizontal="center" vertical="center"/>
    </xf>
    <xf numFmtId="170" fontId="5" fillId="3" borderId="7" xfId="0" applyNumberFormat="1" applyFont="1" applyFill="1" applyBorder="1" applyAlignment="1" applyProtection="1">
      <alignment horizontal="center" vertical="center"/>
    </xf>
    <xf numFmtId="169" fontId="5" fillId="7" borderId="8" xfId="0" applyNumberFormat="1" applyFont="1" applyFill="1" applyBorder="1" applyAlignment="1" applyProtection="1">
      <alignment horizontal="center" vertical="center" wrapText="1"/>
    </xf>
    <xf numFmtId="168" fontId="5" fillId="3" borderId="7" xfId="0" applyNumberFormat="1" applyFont="1" applyFill="1" applyBorder="1" applyAlignment="1" applyProtection="1">
      <alignment horizontal="center" vertical="center"/>
    </xf>
    <xf numFmtId="169" fontId="14" fillId="3" borderId="0" xfId="0" applyNumberFormat="1" applyFont="1" applyFill="1" applyAlignment="1" applyProtection="1"/>
    <xf numFmtId="169" fontId="0" fillId="0" borderId="0" xfId="0" applyNumberFormat="1" applyAlignment="1" applyProtection="1"/>
    <xf numFmtId="1" fontId="5" fillId="5" borderId="7" xfId="0" applyNumberFormat="1" applyFont="1" applyFill="1" applyBorder="1" applyAlignment="1" applyProtection="1">
      <alignment horizontal="center" vertical="center"/>
    </xf>
    <xf numFmtId="170" fontId="5" fillId="5" borderId="7" xfId="0" applyNumberFormat="1" applyFont="1" applyFill="1" applyBorder="1" applyAlignment="1" applyProtection="1">
      <alignment horizontal="center" vertical="center"/>
    </xf>
    <xf numFmtId="164" fontId="5" fillId="8" borderId="8" xfId="0" applyNumberFormat="1" applyFont="1" applyFill="1" applyBorder="1" applyAlignment="1" applyProtection="1">
      <alignment horizontal="center" vertical="center" wrapText="1"/>
    </xf>
    <xf numFmtId="168" fontId="5" fillId="5" borderId="7" xfId="0" applyNumberFormat="1" applyFont="1" applyFill="1" applyBorder="1" applyAlignment="1" applyProtection="1">
      <alignment horizontal="center" vertical="center"/>
    </xf>
    <xf numFmtId="0" fontId="14" fillId="3" borderId="0" xfId="0" applyFont="1" applyFill="1" applyAlignment="1" applyProtection="1"/>
    <xf numFmtId="170" fontId="14" fillId="3" borderId="0" xfId="0" applyNumberFormat="1" applyFont="1" applyFill="1" applyAlignment="1" applyProtection="1"/>
    <xf numFmtId="0" fontId="5" fillId="3" borderId="7" xfId="0" applyFont="1" applyFill="1" applyBorder="1" applyAlignment="1" applyProtection="1">
      <alignment horizontal="center" vertical="center" wrapText="1"/>
    </xf>
    <xf numFmtId="0" fontId="5" fillId="8" borderId="8" xfId="0" applyFont="1" applyFill="1" applyBorder="1" applyAlignment="1" applyProtection="1">
      <alignment horizontal="center" vertical="center" wrapText="1"/>
    </xf>
    <xf numFmtId="169" fontId="5" fillId="8" borderId="8" xfId="0" applyNumberFormat="1" applyFont="1" applyFill="1" applyBorder="1" applyAlignment="1" applyProtection="1">
      <alignment horizontal="center" vertical="center" wrapText="1"/>
    </xf>
    <xf numFmtId="169" fontId="14" fillId="3" borderId="0" xfId="0" applyNumberFormat="1" applyFont="1" applyFill="1" applyAlignment="1" applyProtection="1">
      <alignment horizontal="center"/>
    </xf>
    <xf numFmtId="0" fontId="5" fillId="5" borderId="7" xfId="0" applyFont="1" applyFill="1" applyBorder="1" applyAlignment="1" applyProtection="1">
      <alignment horizontal="center" vertical="center" wrapText="1"/>
    </xf>
    <xf numFmtId="169" fontId="6" fillId="7" borderId="8" xfId="0" applyNumberFormat="1" applyFont="1" applyFill="1" applyBorder="1" applyAlignment="1" applyProtection="1">
      <alignment horizontal="center" vertical="center" wrapText="1"/>
    </xf>
    <xf numFmtId="169" fontId="5" fillId="5" borderId="7" xfId="0" applyNumberFormat="1" applyFont="1" applyFill="1" applyBorder="1" applyAlignment="1" applyProtection="1">
      <alignment horizontal="center" vertical="center" wrapText="1"/>
    </xf>
    <xf numFmtId="1" fontId="5" fillId="8" borderId="8" xfId="0" applyNumberFormat="1" applyFont="1" applyFill="1" applyBorder="1" applyAlignment="1" applyProtection="1">
      <alignment horizontal="center" vertical="center" wrapText="1"/>
    </xf>
    <xf numFmtId="167" fontId="5" fillId="8" borderId="8" xfId="0" applyNumberFormat="1" applyFont="1" applyFill="1" applyBorder="1" applyAlignment="1" applyProtection="1">
      <alignment horizontal="center" vertical="center" wrapText="1"/>
    </xf>
    <xf numFmtId="169" fontId="5" fillId="3" borderId="7" xfId="0" applyNumberFormat="1" applyFont="1" applyFill="1" applyBorder="1" applyAlignment="1" applyProtection="1">
      <alignment horizontal="center" vertical="center"/>
    </xf>
    <xf numFmtId="169" fontId="5" fillId="5" borderId="7" xfId="0" applyNumberFormat="1"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5" fillId="3" borderId="7" xfId="0" applyFont="1" applyFill="1" applyBorder="1" applyAlignment="1" applyProtection="1">
      <alignment horizontal="center" vertical="center"/>
    </xf>
    <xf numFmtId="169" fontId="0" fillId="0" borderId="0" xfId="0" applyNumberFormat="1" applyAlignment="1" applyProtection="1">
      <alignment horizontal="right"/>
    </xf>
    <xf numFmtId="166" fontId="0" fillId="0" borderId="0" xfId="0" applyNumberFormat="1" applyAlignment="1" applyProtection="1"/>
    <xf numFmtId="0" fontId="6" fillId="5" borderId="8" xfId="0" applyFont="1" applyFill="1" applyBorder="1" applyAlignment="1" applyProtection="1">
      <alignment horizontal="left" vertical="top"/>
    </xf>
    <xf numFmtId="0" fontId="5" fillId="3" borderId="8" xfId="0" applyFont="1" applyFill="1" applyBorder="1" applyAlignment="1" applyProtection="1">
      <alignment horizontal="left" vertical="top" wrapText="1"/>
    </xf>
    <xf numFmtId="0" fontId="6" fillId="8" borderId="8" xfId="0" applyFont="1" applyFill="1" applyBorder="1" applyAlignment="1" applyProtection="1">
      <alignment horizontal="left" vertical="top"/>
    </xf>
    <xf numFmtId="0" fontId="2" fillId="10" borderId="0" xfId="0" applyFont="1" applyFill="1" applyAlignment="1" applyProtection="1">
      <alignment horizontal="left" vertical="center"/>
    </xf>
    <xf numFmtId="0" fontId="2" fillId="10" borderId="0" xfId="0" applyFont="1" applyFill="1" applyAlignment="1" applyProtection="1">
      <alignment horizontal="center" vertical="center"/>
    </xf>
    <xf numFmtId="0" fontId="9" fillId="4" borderId="9" xfId="0" applyFont="1" applyFill="1" applyBorder="1" applyAlignment="1" applyProtection="1">
      <alignment horizontal="center" vertical="center" wrapText="1"/>
    </xf>
    <xf numFmtId="0" fontId="6" fillId="11" borderId="9" xfId="0" applyFont="1" applyFill="1" applyBorder="1" applyAlignment="1" applyProtection="1">
      <alignment horizontal="center" vertical="center" wrapText="1"/>
    </xf>
    <xf numFmtId="0" fontId="6" fillId="6" borderId="9" xfId="0" applyFont="1" applyFill="1" applyBorder="1" applyAlignment="1" applyProtection="1">
      <alignment horizontal="center" vertical="center" wrapText="1"/>
    </xf>
    <xf numFmtId="0" fontId="6" fillId="12" borderId="9" xfId="0" applyFont="1" applyFill="1" applyBorder="1" applyAlignment="1" applyProtection="1">
      <alignment horizontal="center" vertical="center" wrapText="1"/>
    </xf>
    <xf numFmtId="0" fontId="5" fillId="5" borderId="8" xfId="0" applyFont="1" applyFill="1" applyBorder="1" applyAlignment="1" applyProtection="1">
      <alignment horizontal="left" vertical="center"/>
    </xf>
    <xf numFmtId="1" fontId="5" fillId="11" borderId="8" xfId="0" applyNumberFormat="1" applyFont="1" applyFill="1" applyBorder="1" applyAlignment="1" applyProtection="1">
      <alignment horizontal="center" vertical="center"/>
    </xf>
    <xf numFmtId="1" fontId="5" fillId="6" borderId="8" xfId="0" applyNumberFormat="1" applyFont="1" applyFill="1" applyBorder="1" applyAlignment="1" applyProtection="1">
      <alignment horizontal="center" vertical="center"/>
    </xf>
    <xf numFmtId="1" fontId="5" fillId="12" borderId="8" xfId="0" applyNumberFormat="1" applyFont="1" applyFill="1" applyBorder="1" applyAlignment="1" applyProtection="1">
      <alignment horizontal="center" vertical="center"/>
    </xf>
    <xf numFmtId="0" fontId="5" fillId="8" borderId="8" xfId="0" applyFont="1" applyFill="1" applyBorder="1" applyAlignment="1" applyProtection="1">
      <alignment horizontal="left" vertical="center"/>
    </xf>
    <xf numFmtId="170" fontId="5" fillId="11" borderId="8" xfId="0" applyNumberFormat="1" applyFont="1" applyFill="1" applyBorder="1" applyAlignment="1" applyProtection="1">
      <alignment horizontal="center" vertical="center"/>
    </xf>
    <xf numFmtId="170" fontId="5" fillId="6" borderId="8" xfId="0" applyNumberFormat="1" applyFont="1" applyFill="1" applyBorder="1" applyAlignment="1" applyProtection="1">
      <alignment horizontal="center" vertical="center"/>
    </xf>
    <xf numFmtId="170" fontId="5" fillId="12" borderId="8" xfId="0" applyNumberFormat="1" applyFont="1" applyFill="1" applyBorder="1" applyAlignment="1" applyProtection="1">
      <alignment horizontal="center" vertical="center"/>
    </xf>
    <xf numFmtId="171" fontId="5" fillId="11" borderId="8" xfId="0" applyNumberFormat="1" applyFont="1" applyFill="1" applyBorder="1" applyAlignment="1" applyProtection="1">
      <alignment horizontal="center" vertical="center"/>
    </xf>
    <xf numFmtId="171" fontId="5" fillId="6" borderId="8" xfId="0" applyNumberFormat="1" applyFont="1" applyFill="1" applyBorder="1" applyAlignment="1" applyProtection="1">
      <alignment horizontal="center" vertical="center"/>
    </xf>
    <xf numFmtId="171" fontId="5" fillId="12" borderId="8" xfId="0" applyNumberFormat="1" applyFont="1" applyFill="1" applyBorder="1" applyAlignment="1" applyProtection="1">
      <alignment horizontal="center" vertical="center"/>
    </xf>
    <xf numFmtId="0" fontId="6" fillId="13" borderId="8" xfId="0" applyFont="1" applyFill="1" applyBorder="1" applyAlignment="1" applyProtection="1">
      <alignment horizontal="left" vertical="center"/>
    </xf>
    <xf numFmtId="170" fontId="6" fillId="13" borderId="8" xfId="0" applyNumberFormat="1" applyFont="1" applyFill="1" applyBorder="1" applyAlignment="1" applyProtection="1">
      <alignment horizontal="center" vertical="center"/>
    </xf>
    <xf numFmtId="168" fontId="6" fillId="13" borderId="8" xfId="0" applyNumberFormat="1" applyFont="1" applyFill="1" applyBorder="1" applyAlignment="1" applyProtection="1">
      <alignment horizontal="center" vertical="center"/>
    </xf>
    <xf numFmtId="166" fontId="14" fillId="3" borderId="0" xfId="0" applyNumberFormat="1" applyFont="1" applyFill="1" applyAlignment="1" applyProtection="1"/>
    <xf numFmtId="0" fontId="1" fillId="2" borderId="1" xfId="0" applyFont="1" applyFill="1" applyBorder="1" applyAlignment="1" applyProtection="1">
      <alignment horizontal="center" vertical="center"/>
    </xf>
    <xf numFmtId="0" fontId="9" fillId="4" borderId="3" xfId="0" applyFont="1" applyFill="1" applyBorder="1" applyAlignment="1" applyProtection="1">
      <alignment horizontal="center" vertical="center"/>
    </xf>
    <xf numFmtId="0" fontId="10" fillId="3" borderId="5" xfId="0" applyFont="1" applyFill="1" applyBorder="1" applyAlignment="1" applyProtection="1">
      <alignment horizontal="left" vertical="center"/>
    </xf>
    <xf numFmtId="0" fontId="13" fillId="2" borderId="0" xfId="0" applyFont="1" applyFill="1" applyBorder="1" applyAlignment="1" applyProtection="1">
      <alignment horizontal="center" vertical="center"/>
    </xf>
    <xf numFmtId="0" fontId="0" fillId="0" borderId="0" xfId="0" applyBorder="1" applyAlignment="1" applyProtection="1"/>
    <xf numFmtId="0" fontId="2" fillId="10" borderId="0"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0" fillId="3" borderId="0" xfId="0" applyFont="1" applyFill="1" applyBorder="1" applyAlignment="1" applyProtection="1">
      <alignment horizontal="left" vertical="center" wrapText="1"/>
    </xf>
    <xf numFmtId="0" fontId="9" fillId="10" borderId="0" xfId="0" applyFont="1" applyFill="1" applyBorder="1" applyAlignment="1" applyProtection="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77933C"/>
      <rgbColor rgb="FF800080"/>
      <rgbColor rgb="FF008080"/>
      <rgbColor rgb="FFB3B3B3"/>
      <rgbColor rgb="FF6B7A8D"/>
      <rgbColor rgb="FF9999FF"/>
      <rgbColor rgb="FF993366"/>
      <rgbColor rgb="FFFFF3CD"/>
      <rgbColor rgb="FFF0F3F7"/>
      <rgbColor rgb="FF660066"/>
      <rgbColor rgb="FFFF8080"/>
      <rgbColor rgb="FF0066CC"/>
      <rgbColor rgb="FFD0D7E0"/>
      <rgbColor rgb="FF000080"/>
      <rgbColor rgb="FFFF00FF"/>
      <rgbColor rgb="FFFFFF00"/>
      <rgbColor rgb="FF00FFFF"/>
      <rgbColor rgb="FF800080"/>
      <rgbColor rgb="FF800000"/>
      <rgbColor rgb="FF008080"/>
      <rgbColor rgb="FF0000FF"/>
      <rgbColor rgb="FF00CCFF"/>
      <rgbColor rgb="FFD6E4F0"/>
      <rgbColor rgb="FFD6EAD7"/>
      <rgbColor rgb="FFFCE8D5"/>
      <rgbColor rgb="FFD9D9D9"/>
      <rgbColor rgb="FFF5F6F8"/>
      <rgbColor rgb="FFCC99FF"/>
      <rgbColor rgb="FFFAC090"/>
      <rgbColor rgb="FF3366FF"/>
      <rgbColor rgb="FF33CCCC"/>
      <rgbColor rgb="FF99CC00"/>
      <rgbColor rgb="FFFFCC00"/>
      <rgbColor rgb="FFFF9900"/>
      <rgbColor rgb="FFFF6600"/>
      <rgbColor rgb="FF4A6FA5"/>
      <rgbColor rgb="FF8FA8C0"/>
      <rgbColor rgb="FF1B2A4A"/>
      <rgbColor rgb="FF339966"/>
      <rgbColor rgb="FF003300"/>
      <rgbColor rgb="FF333300"/>
      <rgbColor rgb="FF993300"/>
      <rgbColor rgb="FF993366"/>
      <rgbColor rgb="FF333399"/>
      <rgbColor rgb="FF2E4057"/>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c:style val="2"/>
  <c:chart>
    <c:title>
      <c:tx>
        <c:rich>
          <a:bodyPr rot="0"/>
          <a:lstStyle/>
          <a:p>
            <a:pPr>
              <a:defRPr sz="1300" b="0" u="none" strike="noStrike">
                <a:uFillTx/>
                <a:latin typeface="Arial"/>
              </a:defRPr>
            </a:pPr>
            <a:r>
              <a:rPr lang="en-US" sz="1800" b="1" u="none" strike="noStrike">
                <a:solidFill>
                  <a:srgbClr val="000000"/>
                </a:solidFill>
                <a:uFillTx/>
                <a:latin typeface="Calibri"/>
                <a:ea typeface="Calibri"/>
              </a:rPr>
              <a:t>Fund Balance Over Time</a:t>
            </a:r>
          </a:p>
        </c:rich>
      </c:tx>
      <c:overlay val="0"/>
      <c:spPr>
        <a:noFill/>
        <a:ln w="0">
          <a:noFill/>
        </a:ln>
      </c:spPr>
    </c:title>
    <c:autoTitleDeleted val="0"/>
    <c:plotArea>
      <c:layout/>
      <c:scatterChart>
        <c:scatterStyle val="lineMarker"/>
        <c:varyColors val="0"/>
        <c:ser>
          <c:idx val="0"/>
          <c:order val="0"/>
          <c:tx>
            <c:v>Fund Balance</c:v>
          </c:tx>
          <c:spPr>
            <a:ln w="24840">
              <a:solidFill>
                <a:srgbClr val="1B2A4A"/>
              </a:solidFill>
              <a:round/>
            </a:ln>
          </c:spPr>
          <c:marker>
            <c:symbol val="none"/>
          </c:marker>
          <c:dLbls>
            <c:spPr>
              <a:noFill/>
              <a:ln>
                <a:noFill/>
              </a:ln>
              <a:effectLst/>
            </c:spPr>
            <c:txPr>
              <a:bodyPr wrap="square"/>
              <a:lstStyle/>
              <a:p>
                <a:pPr>
                  <a:defRPr sz="1000" b="0" u="none" strike="noStrike">
                    <a:solidFill>
                      <a:srgbClr val="000000"/>
                    </a:solidFill>
                    <a:uFillTx/>
                    <a:latin typeface="Arial"/>
                    <a:ea typeface="Calibri"/>
                  </a:defRPr>
                </a:pPr>
                <a:endParaRPr lang="en-U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xVal>
            <c:numRef>
              <c:f>Projection!$L$3:$L$102</c:f>
              <c:numCache>
                <c:formatCode>General</c:formatCode>
                <c:ptCount val="100"/>
                <c:pt idx="0" formatCode="[$$-409]#,##0.00;[Red]\-[$$-409]#,##0.00">
                  <c:v>63</c:v>
                </c:pt>
                <c:pt idx="1">
                  <c:v>64</c:v>
                </c:pt>
                <c:pt idx="2" formatCode="[$$-409]#,##0.00;[Red]\-[$$-409]#,##0.00">
                  <c:v>65</c:v>
                </c:pt>
                <c:pt idx="3" formatCode="[$$-409]#,##0.00;[Red]\-[$$-409]#,##0.00">
                  <c:v>66</c:v>
                </c:pt>
                <c:pt idx="4">
                  <c:v>67</c:v>
                </c:pt>
                <c:pt idx="5">
                  <c:v>68</c:v>
                </c:pt>
                <c:pt idx="6" formatCode="[$$-409]#,##0.00;[Red]\-[$$-409]#,##0.00">
                  <c:v>69</c:v>
                </c:pt>
                <c:pt idx="7" formatCode="[$$-409]#,##0.00;[Red]\-[$$-409]#,##0.00">
                  <c:v>70</c:v>
                </c:pt>
                <c:pt idx="8" formatCode="[$$-409]#,##0.00;[Red]\-[$$-409]#,##0.00">
                  <c:v>71</c:v>
                </c:pt>
                <c:pt idx="9" formatCode="[$$-409]#,##0.00;[Red]\-[$$-409]#,##0.00">
                  <c:v>72</c:v>
                </c:pt>
                <c:pt idx="10" formatCode="[$$-409]#,##0.00;[Red]\-[$$-409]#,##0.00">
                  <c:v>73</c:v>
                </c:pt>
                <c:pt idx="11" formatCode="[$$-409]#,##0.00;[Red]\-[$$-409]#,##0.00">
                  <c:v>74</c:v>
                </c:pt>
                <c:pt idx="12" formatCode="[$$-409]#,##0.00;[Red]\-[$$-409]#,##0.00">
                  <c:v>75</c:v>
                </c:pt>
                <c:pt idx="13" formatCode="[$$-409]#,##0.00;[Red]\-[$$-409]#,##0.00">
                  <c:v>76</c:v>
                </c:pt>
                <c:pt idx="14" formatCode="[$$-409]#,##0.00;[Red]\-[$$-409]#,##0.00">
                  <c:v>77</c:v>
                </c:pt>
                <c:pt idx="15" formatCode="[$$-409]#,##0.00;[Red]\-[$$-409]#,##0.00">
                  <c:v>78</c:v>
                </c:pt>
                <c:pt idx="16" formatCode="[$$-409]#,##0.00;[Red]\-[$$-409]#,##0.00">
                  <c:v>79</c:v>
                </c:pt>
                <c:pt idx="17" formatCode="[$$-409]#,##0.00;[Red]\-[$$-409]#,##0.00">
                  <c:v>80</c:v>
                </c:pt>
                <c:pt idx="18" formatCode="[$$-409]#,##0.00;[Red]\-[$$-409]#,##0.00">
                  <c:v>81</c:v>
                </c:pt>
                <c:pt idx="19" formatCode="[$$-409]#,##0.00;[Red]\-[$$-409]#,##0.00">
                  <c:v>82</c:v>
                </c:pt>
                <c:pt idx="20" formatCode="[$$-409]#,##0.00;[Red]\-[$$-409]#,##0.00">
                  <c:v>83</c:v>
                </c:pt>
                <c:pt idx="21" formatCode="[$$-409]#,##0.00;[Red]\-[$$-409]#,##0.00">
                  <c:v>84</c:v>
                </c:pt>
                <c:pt idx="22" formatCode="[$$-409]#,##0.00;[Red]\-[$$-409]#,##0.00">
                  <c:v>85</c:v>
                </c:pt>
                <c:pt idx="23" formatCode="[$$-409]#,##0.00;[Red]\-[$$-409]#,##0.00">
                  <c:v>86</c:v>
                </c:pt>
                <c:pt idx="24" formatCode="[$$-409]#,##0.00;[Red]\-[$$-409]#,##0.00">
                  <c:v>87</c:v>
                </c:pt>
                <c:pt idx="25" formatCode="[$$-409]#,##0.00;[Red]\-[$$-409]#,##0.00">
                  <c:v>88</c:v>
                </c:pt>
                <c:pt idx="26" formatCode="[$$-409]#,##0.00;[Red]\-[$$-409]#,##0.00">
                  <c:v>89</c:v>
                </c:pt>
                <c:pt idx="27" formatCode="[$$-409]#,##0.00;[Red]\-[$$-409]#,##0.00">
                  <c:v>90</c:v>
                </c:pt>
                <c:pt idx="28" formatCode="[$$-409]#,##0.00;[Red]\-[$$-409]#,##0.00">
                  <c:v>91</c:v>
                </c:pt>
                <c:pt idx="29" formatCode="[$$-409]#,##0.00;[Red]\-[$$-409]#,##0.00">
                  <c:v>92</c:v>
                </c:pt>
                <c:pt idx="30" formatCode="[$$-409]#,##0.00;[Red]\-[$$-409]#,##0.00">
                  <c:v>93</c:v>
                </c:pt>
                <c:pt idx="31" formatCode="[$$-409]#,##0.00;[Red]\-[$$-409]#,##0.00">
                  <c:v>94</c:v>
                </c:pt>
                <c:pt idx="32" formatCode="[$$-409]#,##0.00;[Red]\-[$$-409]#,##0.00">
                  <c:v>95</c:v>
                </c:pt>
                <c:pt idx="33" formatCode="[$$-409]#,##0.00;[Red]\-[$$-409]#,##0.00">
                  <c:v>96</c:v>
                </c:pt>
                <c:pt idx="34" formatCode="[$$-409]#,##0.00;[Red]\-[$$-409]#,##0.00">
                  <c:v>97</c:v>
                </c:pt>
                <c:pt idx="35">
                  <c:v>98</c:v>
                </c:pt>
                <c:pt idx="36">
                  <c:v>99</c:v>
                </c:pt>
                <c:pt idx="37">
                  <c:v>100</c:v>
                </c:pt>
                <c:pt idx="38">
                  <c:v>#N/A</c:v>
                </c:pt>
                <c:pt idx="39">
                  <c:v>#N/A</c:v>
                </c:pt>
                <c:pt idx="40">
                  <c:v>#N/A</c:v>
                </c:pt>
                <c:pt idx="41">
                  <c:v>#N/A</c:v>
                </c:pt>
                <c:pt idx="42" formatCode="[$$-409]#,##0.00;[Red]\-[$$-409]#,##0.00">
                  <c:v>#N/A</c:v>
                </c:pt>
                <c:pt idx="43" formatCode="[$$-409]#,##0.00;[Red]\-[$$-409]#,##0.00">
                  <c:v>#N/A</c:v>
                </c:pt>
                <c:pt idx="44" formatCode="[$$-409]#,##0.00;[Red]\-[$$-409]#,##0.00">
                  <c:v>#N/A</c:v>
                </c:pt>
                <c:pt idx="45" formatCode="[$$-409]#,##0.00;[Red]\-[$$-409]#,##0.00">
                  <c:v>#N/A</c:v>
                </c:pt>
                <c:pt idx="46" formatCode="[$$-409]#,##0.00;[Red]\-[$$-409]#,##0.00">
                  <c:v>#N/A</c:v>
                </c:pt>
                <c:pt idx="47" formatCode="[$$-409]#,##0.00;[Red]\-[$$-409]#,##0.00">
                  <c:v>#N/A</c:v>
                </c:pt>
                <c:pt idx="48" formatCode="[$$-409]#,##0.00;[Red]\-[$$-409]#,##0.00">
                  <c:v>#N/A</c:v>
                </c:pt>
                <c:pt idx="49" formatCode="[$$-409]#,##0.00;[Red]\-[$$-409]#,##0.00">
                  <c:v>#N/A</c:v>
                </c:pt>
                <c:pt idx="50" formatCode="[$$-409]#,##0.00;[Red]\-[$$-409]#,##0.00">
                  <c:v>#N/A</c:v>
                </c:pt>
                <c:pt idx="51" formatCode="[$$-409]#,##0.00;[Red]\-[$$-409]#,##0.00">
                  <c:v>#N/A</c:v>
                </c:pt>
                <c:pt idx="52" formatCode="[$$-409]#,##0.00;[Red]\-[$$-409]#,##0.00">
                  <c:v>#N/A</c:v>
                </c:pt>
                <c:pt idx="53" formatCode="[$$-409]#,##0.00;[Red]\-[$$-409]#,##0.00">
                  <c:v>#N/A</c:v>
                </c:pt>
                <c:pt idx="54" formatCode="[$$-409]#,##0.00;[Red]\-[$$-409]#,##0.00">
                  <c:v>#N/A</c:v>
                </c:pt>
                <c:pt idx="55" formatCode="[$$-409]#,##0.00;[Red]\-[$$-409]#,##0.00">
                  <c:v>#N/A</c:v>
                </c:pt>
                <c:pt idx="56" formatCode="[$$-409]#,##0.00;[Red]\-[$$-409]#,##0.00">
                  <c:v>#N/A</c:v>
                </c:pt>
                <c:pt idx="57" formatCode="[$$-409]#,##0.00;[Red]\-[$$-409]#,##0.00">
                  <c:v>#N/A</c:v>
                </c:pt>
                <c:pt idx="58" formatCode="[$$-409]#,##0.00;[Red]\-[$$-409]#,##0.00">
                  <c:v>#N/A</c:v>
                </c:pt>
                <c:pt idx="59" formatCode="[$$-409]#,##0.00;[Red]\-[$$-409]#,##0.00">
                  <c:v>#N/A</c:v>
                </c:pt>
                <c:pt idx="60" formatCode="[$$-409]#,##0.00;[Red]\-[$$-409]#,##0.00">
                  <c:v>#N/A</c:v>
                </c:pt>
                <c:pt idx="61" formatCode="[$$-409]#,##0.00;[Red]\-[$$-409]#,##0.00">
                  <c:v>#N/A</c:v>
                </c:pt>
                <c:pt idx="62" formatCode="[$$-409]#,##0.00;[Red]\-[$$-409]#,##0.00">
                  <c:v>#N/A</c:v>
                </c:pt>
                <c:pt idx="63" formatCode="[$$-409]#,##0.00;[Red]\-[$$-409]#,##0.00">
                  <c:v>#N/A</c:v>
                </c:pt>
                <c:pt idx="64" formatCode="[$$-409]#,##0.00;[Red]\-[$$-409]#,##0.00">
                  <c:v>#N/A</c:v>
                </c:pt>
                <c:pt idx="65" formatCode="[$$-409]#,##0.00;[Red]\-[$$-409]#,##0.00">
                  <c:v>#N/A</c:v>
                </c:pt>
                <c:pt idx="66" formatCode="[$$-409]#,##0.00;[Red]\-[$$-409]#,##0.00">
                  <c:v>#N/A</c:v>
                </c:pt>
                <c:pt idx="67" formatCode="[$$-409]#,##0.00;[Red]\-[$$-409]#,##0.00">
                  <c:v>#N/A</c:v>
                </c:pt>
                <c:pt idx="68" formatCode="[$$-409]#,##0.00;[Red]\-[$$-409]#,##0.00">
                  <c:v>#N/A</c:v>
                </c:pt>
                <c:pt idx="69" formatCode="[$$-409]#,##0.00;[Red]\-[$$-409]#,##0.00">
                  <c:v>#N/A</c:v>
                </c:pt>
                <c:pt idx="70" formatCode="[$$-409]#,##0.00;[Red]\-[$$-409]#,##0.00">
                  <c:v>#N/A</c:v>
                </c:pt>
                <c:pt idx="71" formatCode="[$$-409]#,##0.00;[Red]\-[$$-409]#,##0.00">
                  <c:v>#N/A</c:v>
                </c:pt>
                <c:pt idx="72" formatCode="[$$-409]#,##0.00;[Red]\-[$$-409]#,##0.00">
                  <c:v>#N/A</c:v>
                </c:pt>
                <c:pt idx="73" formatCode="[$$-409]#,##0.00;[Red]\-[$$-409]#,##0.00">
                  <c:v>#N/A</c:v>
                </c:pt>
                <c:pt idx="74" formatCode="[$$-409]#,##0.00;[Red]\-[$$-409]#,##0.00">
                  <c:v>#N/A</c:v>
                </c:pt>
                <c:pt idx="75" formatCode="[$$-409]#,##0.00;[Red]\-[$$-409]#,##0.00">
                  <c:v>#N/A</c:v>
                </c:pt>
                <c:pt idx="76" formatCode="[$$-409]#,##0.00;[Red]\-[$$-409]#,##0.00">
                  <c:v>#N/A</c:v>
                </c:pt>
                <c:pt idx="77" formatCode="[$$-409]#,##0.00;[Red]\-[$$-409]#,##0.00">
                  <c:v>#N/A</c:v>
                </c:pt>
                <c:pt idx="78" formatCode="[$$-409]#,##0.00;[Red]\-[$$-409]#,##0.00">
                  <c:v>#N/A</c:v>
                </c:pt>
                <c:pt idx="79" formatCode="[$$-409]#,##0.00;[Red]\-[$$-409]#,##0.00">
                  <c:v>#N/A</c:v>
                </c:pt>
                <c:pt idx="80" formatCode="[$$-409]#,##0.00;[Red]\-[$$-409]#,##0.00">
                  <c:v>#N/A</c:v>
                </c:pt>
                <c:pt idx="81" formatCode="[$$-409]#,##0.00;[Red]\-[$$-409]#,##0.00">
                  <c:v>#N/A</c:v>
                </c:pt>
                <c:pt idx="82" formatCode="[$$-409]#,##0.00;[Red]\-[$$-409]#,##0.00">
                  <c:v>#N/A</c:v>
                </c:pt>
                <c:pt idx="83" formatCode="[$$-409]#,##0.00;[Red]\-[$$-409]#,##0.00">
                  <c:v>#N/A</c:v>
                </c:pt>
                <c:pt idx="84" formatCode="[$$-409]#,##0.00;[Red]\-[$$-409]#,##0.00">
                  <c:v>#N/A</c:v>
                </c:pt>
                <c:pt idx="85" formatCode="[$$-409]#,##0.00;[Red]\-[$$-409]#,##0.00">
                  <c:v>#N/A</c:v>
                </c:pt>
                <c:pt idx="86" formatCode="[$$-409]#,##0.00;[Red]\-[$$-409]#,##0.00">
                  <c:v>#N/A</c:v>
                </c:pt>
                <c:pt idx="87" formatCode="[$$-409]#,##0.00;[Red]\-[$$-409]#,##0.00">
                  <c:v>#N/A</c:v>
                </c:pt>
                <c:pt idx="88" formatCode="[$$-409]#,##0.00;[Red]\-[$$-409]#,##0.00">
                  <c:v>#N/A</c:v>
                </c:pt>
                <c:pt idx="89" formatCode="[$$-409]#,##0.00;[Red]\-[$$-409]#,##0.00">
                  <c:v>#N/A</c:v>
                </c:pt>
                <c:pt idx="90" formatCode="[$$-409]#,##0.00;[Red]\-[$$-409]#,##0.00">
                  <c:v>#N/A</c:v>
                </c:pt>
                <c:pt idx="91" formatCode="[$$-409]#,##0.00;[Red]\-[$$-409]#,##0.00">
                  <c:v>#N/A</c:v>
                </c:pt>
                <c:pt idx="92" formatCode="[$$-409]#,##0.00;[Red]\-[$$-409]#,##0.00">
                  <c:v>#N/A</c:v>
                </c:pt>
                <c:pt idx="93" formatCode="[$$-409]#,##0.00;[Red]\-[$$-409]#,##0.00">
                  <c:v>#N/A</c:v>
                </c:pt>
                <c:pt idx="94" formatCode="[$$-409]#,##0.00;[Red]\-[$$-409]#,##0.00">
                  <c:v>#N/A</c:v>
                </c:pt>
                <c:pt idx="95" formatCode="[$$-409]#,##0.00;[Red]\-[$$-409]#,##0.00">
                  <c:v>#N/A</c:v>
                </c:pt>
                <c:pt idx="96" formatCode="[$$-409]#,##0.00;[Red]\-[$$-409]#,##0.00">
                  <c:v>#N/A</c:v>
                </c:pt>
                <c:pt idx="97" formatCode="[$$-409]#,##0.00;[Red]\-[$$-409]#,##0.00">
                  <c:v>#N/A</c:v>
                </c:pt>
                <c:pt idx="98" formatCode="[$$-409]#,##0.00;[Red]\-[$$-409]#,##0.00">
                  <c:v>#N/A</c:v>
                </c:pt>
                <c:pt idx="99" formatCode="[$$-409]#,##0.00;[Red]\-[$$-409]#,##0.00">
                  <c:v>#N/A</c:v>
                </c:pt>
              </c:numCache>
            </c:numRef>
          </c:xVal>
          <c:yVal>
            <c:numRef>
              <c:f>Projection!$M$3:$M$102</c:f>
              <c:numCache>
                <c:formatCode>\$#,##0</c:formatCode>
                <c:ptCount val="100"/>
                <c:pt idx="0" formatCode="[$$-409]#,##0.00;[Red]\-[$$-409]#,##0.00">
                  <c:v>4800</c:v>
                </c:pt>
                <c:pt idx="1">
                  <c:v>9936</c:v>
                </c:pt>
                <c:pt idx="2" formatCode="[$$-409]#,##0.00;[Red]\-[$$-409]#,##0.00">
                  <c:v>15431.52</c:v>
                </c:pt>
                <c:pt idx="3" formatCode="[$$-409]#,##0.00;[Red]\-[$$-409]#,##0.00">
                  <c:v>21311.7264</c:v>
                </c:pt>
                <c:pt idx="4" formatCode="[$$-409]#,##0.00;[Red]\-[$$-409]#,##0.00">
                  <c:v>27603.547247999999</c:v>
                </c:pt>
                <c:pt idx="5" formatCode="[$$-409]#,##0.00;[Red]\-[$$-409]#,##0.00">
                  <c:v>34335.795555359997</c:v>
                </c:pt>
                <c:pt idx="6" formatCode="[$$-409]#,##0.00;[Red]\-[$$-409]#,##0.00">
                  <c:v>16941.823935737797</c:v>
                </c:pt>
                <c:pt idx="7" formatCode="[$$-409]#,##0.00;[Red]\-[$$-409]#,##0.00">
                  <c:v>22927.751611239444</c:v>
                </c:pt>
                <c:pt idx="8" formatCode="[$$-409]#,##0.00;[Red]\-[$$-409]#,##0.00">
                  <c:v>29332.694224026207</c:v>
                </c:pt>
                <c:pt idx="9" formatCode="[$$-409]#,##0.00;[Red]\-[$$-409]#,##0.00">
                  <c:v>36185.982819708042</c:v>
                </c:pt>
                <c:pt idx="10" formatCode="[$$-409]#,##0.00;[Red]\-[$$-409]#,##0.00">
                  <c:v>43519.001617087604</c:v>
                </c:pt>
                <c:pt idx="11" formatCode="[$$-409]#,##0.00;[Red]\-[$$-409]#,##0.00">
                  <c:v>51365.331730283739</c:v>
                </c:pt>
                <c:pt idx="12" formatCode="[$$-409]#,##0.00;[Red]\-[$$-409]#,##0.00">
                  <c:v>59760.904951403601</c:v>
                </c:pt>
                <c:pt idx="13" formatCode="[$$-409]#,##0.00;[Red]\-[$$-409]#,##0.00">
                  <c:v>38492.37380089963</c:v>
                </c:pt>
                <c:pt idx="14" formatCode="[$$-409]#,##0.00;[Red]\-[$$-409]#,##0.00">
                  <c:v>45986.839966962601</c:v>
                </c:pt>
                <c:pt idx="15" formatCode="[$$-409]#,##0.00;[Red]\-[$$-409]#,##0.00">
                  <c:v>54005.918764649985</c:v>
                </c:pt>
                <c:pt idx="16" formatCode="[$$-409]#,##0.00;[Red]\-[$$-409]#,##0.00">
                  <c:v>62586.333078175485</c:v>
                </c:pt>
                <c:pt idx="17" formatCode="[$$-409]#,##0.00;[Red]\-[$$-409]#,##0.00">
                  <c:v>71767.376393647777</c:v>
                </c:pt>
                <c:pt idx="18" formatCode="[$$-409]#,##0.00;[Red]\-[$$-409]#,##0.00">
                  <c:v>81591.092741203116</c:v>
                </c:pt>
                <c:pt idx="19" formatCode="[$$-409]#,##0.00;[Red]\-[$$-409]#,##0.00">
                  <c:v>92102.469233087337</c:v>
                </c:pt>
                <c:pt idx="20" formatCode="[$$-409]#,##0.00;[Red]\-[$$-409]#,##0.00">
                  <c:v>66143.750645213542</c:v>
                </c:pt>
                <c:pt idx="21" formatCode="[$$-409]#,##0.00;[Red]\-[$$-409]#,##0.00">
                  <c:v>75573.813190378496</c:v>
                </c:pt>
                <c:pt idx="22" formatCode="[$$-409]#,##0.00;[Red]\-[$$-409]#,##0.00">
                  <c:v>85663.980113704994</c:v>
                </c:pt>
                <c:pt idx="23" formatCode="[$$-409]#,##0.00;[Red]\-[$$-409]#,##0.00">
                  <c:v>96460.458721664341</c:v>
                </c:pt>
                <c:pt idx="24" formatCode="[$$-409]#,##0.00;[Red]\-[$$-409]#,##0.00">
                  <c:v>108012.69083218084</c:v>
                </c:pt>
                <c:pt idx="25" formatCode="[$$-409]#,##0.00;[Red]\-[$$-409]#,##0.00">
                  <c:v>120373.57919043351</c:v>
                </c:pt>
                <c:pt idx="26" formatCode="[$$-409]#,##0.00;[Red]\-[$$-409]#,##0.00">
                  <c:v>133599.72973376384</c:v>
                </c:pt>
                <c:pt idx="27" formatCode="[$$-409]#,##0.00;[Red]\-[$$-409]#,##0.00">
                  <c:v>101993.15730038212</c:v>
                </c:pt>
                <c:pt idx="28" formatCode="[$$-409]#,##0.00;[Red]\-[$$-409]#,##0.00">
                  <c:v>113932.67831140888</c:v>
                </c:pt>
                <c:pt idx="29" formatCode="[$$-409]#,##0.00;[Red]\-[$$-409]#,##0.00">
                  <c:v>126707.96579320749</c:v>
                </c:pt>
                <c:pt idx="30" formatCode="[$$-409]#,##0.00;[Red]\-[$$-409]#,##0.00">
                  <c:v>140377.52339873201</c:v>
                </c:pt>
                <c:pt idx="31" formatCode="[$$-409]#,##0.00;[Red]\-[$$-409]#,##0.00">
                  <c:v>155003.95003664325</c:v>
                </c:pt>
                <c:pt idx="32" formatCode="[$$-409]#,##0.00;[Red]\-[$$-409]#,##0.00">
                  <c:v>170654.22653920826</c:v>
                </c:pt>
                <c:pt idx="33" formatCode="[$$-409]#,##0.00;[Red]\-[$$-409]#,##0.00">
                  <c:v>187400.02239695285</c:v>
                </c:pt>
                <c:pt idx="34" formatCode="[$$-409]#,##0.00;[Red]\-[$$-409]#,##0.00">
                  <c:v>149040.7748773091</c:v>
                </c:pt>
                <c:pt idx="35" formatCode="[$$-409]#,##0.00;[Red]\-[$$-409]#,##0.00">
                  <c:v>164273.62911872074</c:v>
                </c:pt>
                <c:pt idx="36" formatCode="[$$-409]#,##0.00;[Red]\-[$$-409]#,##0.00">
                  <c:v>180572.7831570312</c:v>
                </c:pt>
                <c:pt idx="37" formatCode="[$$-409]#,##0.00;[Red]\-[$$-409]#,##0.00">
                  <c:v>198012.87797802337</c:v>
                </c:pt>
                <c:pt idx="38" formatCode="[$$-409]#,##0.00;[Red]\-[$$-409]#,##0.00">
                  <c:v>#N/A</c:v>
                </c:pt>
                <c:pt idx="39" formatCode="[$$-409]#,##0.00;[Red]\-[$$-409]#,##0.00">
                  <c:v>#N/A</c:v>
                </c:pt>
                <c:pt idx="40" formatCode="[$$-409]#,##0.00;[Red]\-[$$-409]#,##0.00">
                  <c:v>#N/A</c:v>
                </c:pt>
                <c:pt idx="41" formatCode="[$$-409]#,##0.00;[Red]\-[$$-409]#,##0.00">
                  <c:v>#N/A</c:v>
                </c:pt>
                <c:pt idx="42" formatCode="[$$-409]#,##0.00;[Red]\-[$$-409]#,##0.00">
                  <c:v>#N/A</c:v>
                </c:pt>
                <c:pt idx="43" formatCode="[$$-409]#,##0.00;[Red]\-[$$-409]#,##0.00">
                  <c:v>#N/A</c:v>
                </c:pt>
                <c:pt idx="44" formatCode="[$$-409]#,##0.00;[Red]\-[$$-409]#,##0.00">
                  <c:v>#N/A</c:v>
                </c:pt>
                <c:pt idx="45" formatCode="[$$-409]#,##0.00;[Red]\-[$$-409]#,##0.00">
                  <c:v>#N/A</c:v>
                </c:pt>
                <c:pt idx="46" formatCode="[$$-409]#,##0.00;[Red]\-[$$-409]#,##0.00">
                  <c:v>#N/A</c:v>
                </c:pt>
                <c:pt idx="47" formatCode="[$$-409]#,##0.00;[Red]\-[$$-409]#,##0.00">
                  <c:v>#N/A</c:v>
                </c:pt>
                <c:pt idx="48" formatCode="[$$-409]#,##0.00;[Red]\-[$$-409]#,##0.00">
                  <c:v>#N/A</c:v>
                </c:pt>
                <c:pt idx="49" formatCode="[$$-409]#,##0.00;[Red]\-[$$-409]#,##0.00">
                  <c:v>#N/A</c:v>
                </c:pt>
                <c:pt idx="50" formatCode="[$$-409]#,##0.00;[Red]\-[$$-409]#,##0.00">
                  <c:v>#N/A</c:v>
                </c:pt>
                <c:pt idx="51" formatCode="[$$-409]#,##0.00;[Red]\-[$$-409]#,##0.00">
                  <c:v>#N/A</c:v>
                </c:pt>
                <c:pt idx="52" formatCode="[$$-409]#,##0.00;[Red]\-[$$-409]#,##0.00">
                  <c:v>#N/A</c:v>
                </c:pt>
                <c:pt idx="53" formatCode="[$$-409]#,##0.00;[Red]\-[$$-409]#,##0.00">
                  <c:v>#N/A</c:v>
                </c:pt>
                <c:pt idx="54" formatCode="[$$-409]#,##0.00;[Red]\-[$$-409]#,##0.00">
                  <c:v>#N/A</c:v>
                </c:pt>
                <c:pt idx="55" formatCode="[$$-409]#,##0.00;[Red]\-[$$-409]#,##0.00">
                  <c:v>#N/A</c:v>
                </c:pt>
                <c:pt idx="56" formatCode="[$$-409]#,##0.00;[Red]\-[$$-409]#,##0.00">
                  <c:v>#N/A</c:v>
                </c:pt>
                <c:pt idx="57" formatCode="[$$-409]#,##0.00;[Red]\-[$$-409]#,##0.00">
                  <c:v>#N/A</c:v>
                </c:pt>
                <c:pt idx="58" formatCode="[$$-409]#,##0.00;[Red]\-[$$-409]#,##0.00">
                  <c:v>#N/A</c:v>
                </c:pt>
                <c:pt idx="59" formatCode="[$$-409]#,##0.00;[Red]\-[$$-409]#,##0.00">
                  <c:v>#N/A</c:v>
                </c:pt>
                <c:pt idx="60" formatCode="[$$-409]#,##0.00;[Red]\-[$$-409]#,##0.00">
                  <c:v>#N/A</c:v>
                </c:pt>
                <c:pt idx="61" formatCode="[$$-409]#,##0.00;[Red]\-[$$-409]#,##0.00">
                  <c:v>#N/A</c:v>
                </c:pt>
                <c:pt idx="62" formatCode="[$$-409]#,##0.00;[Red]\-[$$-409]#,##0.00">
                  <c:v>#N/A</c:v>
                </c:pt>
                <c:pt idx="63" formatCode="[$$-409]#,##0.00;[Red]\-[$$-409]#,##0.00">
                  <c:v>#N/A</c:v>
                </c:pt>
                <c:pt idx="64" formatCode="[$$-409]#,##0.00;[Red]\-[$$-409]#,##0.00">
                  <c:v>#N/A</c:v>
                </c:pt>
                <c:pt idx="65" formatCode="[$$-409]#,##0.00;[Red]\-[$$-409]#,##0.00">
                  <c:v>#N/A</c:v>
                </c:pt>
                <c:pt idx="66" formatCode="[$$-409]#,##0.00;[Red]\-[$$-409]#,##0.00">
                  <c:v>#N/A</c:v>
                </c:pt>
                <c:pt idx="67" formatCode="[$$-409]#,##0.00;[Red]\-[$$-409]#,##0.00">
                  <c:v>#N/A</c:v>
                </c:pt>
                <c:pt idx="68" formatCode="[$$-409]#,##0.00;[Red]\-[$$-409]#,##0.00">
                  <c:v>#N/A</c:v>
                </c:pt>
                <c:pt idx="69" formatCode="[$$-409]#,##0.00;[Red]\-[$$-409]#,##0.00">
                  <c:v>#N/A</c:v>
                </c:pt>
                <c:pt idx="70" formatCode="[$$-409]#,##0.00;[Red]\-[$$-409]#,##0.00">
                  <c:v>#N/A</c:v>
                </c:pt>
                <c:pt idx="71" formatCode="[$$-409]#,##0.00;[Red]\-[$$-409]#,##0.00">
                  <c:v>#N/A</c:v>
                </c:pt>
                <c:pt idx="72" formatCode="[$$-409]#,##0.00;[Red]\-[$$-409]#,##0.00">
                  <c:v>#N/A</c:v>
                </c:pt>
                <c:pt idx="73" formatCode="[$$-409]#,##0.00;[Red]\-[$$-409]#,##0.00">
                  <c:v>#N/A</c:v>
                </c:pt>
                <c:pt idx="74" formatCode="[$$-409]#,##0.00;[Red]\-[$$-409]#,##0.00">
                  <c:v>#N/A</c:v>
                </c:pt>
                <c:pt idx="75" formatCode="[$$-409]#,##0.00;[Red]\-[$$-409]#,##0.00">
                  <c:v>#N/A</c:v>
                </c:pt>
                <c:pt idx="76" formatCode="[$$-409]#,##0.00;[Red]\-[$$-409]#,##0.00">
                  <c:v>#N/A</c:v>
                </c:pt>
                <c:pt idx="77" formatCode="[$$-409]#,##0.00;[Red]\-[$$-409]#,##0.00">
                  <c:v>#N/A</c:v>
                </c:pt>
                <c:pt idx="78" formatCode="[$$-409]#,##0.00;[Red]\-[$$-409]#,##0.00">
                  <c:v>#N/A</c:v>
                </c:pt>
                <c:pt idx="79" formatCode="[$$-409]#,##0.00;[Red]\-[$$-409]#,##0.00">
                  <c:v>#N/A</c:v>
                </c:pt>
                <c:pt idx="80" formatCode="[$$-409]#,##0.00;[Red]\-[$$-409]#,##0.00">
                  <c:v>#N/A</c:v>
                </c:pt>
                <c:pt idx="81" formatCode="[$$-409]#,##0.00;[Red]\-[$$-409]#,##0.00">
                  <c:v>#N/A</c:v>
                </c:pt>
                <c:pt idx="82" formatCode="[$$-409]#,##0.00;[Red]\-[$$-409]#,##0.00">
                  <c:v>#N/A</c:v>
                </c:pt>
                <c:pt idx="83" formatCode="[$$-409]#,##0.00;[Red]\-[$$-409]#,##0.00">
                  <c:v>#N/A</c:v>
                </c:pt>
                <c:pt idx="84" formatCode="[$$-409]#,##0.00;[Red]\-[$$-409]#,##0.00">
                  <c:v>#N/A</c:v>
                </c:pt>
                <c:pt idx="85" formatCode="[$$-409]#,##0.00;[Red]\-[$$-409]#,##0.00">
                  <c:v>#N/A</c:v>
                </c:pt>
                <c:pt idx="86" formatCode="[$$-409]#,##0.00;[Red]\-[$$-409]#,##0.00">
                  <c:v>#N/A</c:v>
                </c:pt>
                <c:pt idx="87" formatCode="[$$-409]#,##0.00;[Red]\-[$$-409]#,##0.00">
                  <c:v>#N/A</c:v>
                </c:pt>
                <c:pt idx="88" formatCode="[$$-409]#,##0.00;[Red]\-[$$-409]#,##0.00">
                  <c:v>#N/A</c:v>
                </c:pt>
                <c:pt idx="89" formatCode="[$$-409]#,##0.00;[Red]\-[$$-409]#,##0.00">
                  <c:v>#N/A</c:v>
                </c:pt>
                <c:pt idx="90" formatCode="[$$-409]#,##0.00;[Red]\-[$$-409]#,##0.00">
                  <c:v>#N/A</c:v>
                </c:pt>
                <c:pt idx="91" formatCode="[$$-409]#,##0.00;[Red]\-[$$-409]#,##0.00">
                  <c:v>#N/A</c:v>
                </c:pt>
                <c:pt idx="92" formatCode="[$$-409]#,##0.00;[Red]\-[$$-409]#,##0.00">
                  <c:v>#N/A</c:v>
                </c:pt>
                <c:pt idx="93" formatCode="[$$-409]#,##0.00;[Red]\-[$$-409]#,##0.00">
                  <c:v>#N/A</c:v>
                </c:pt>
                <c:pt idx="94" formatCode="[$$-409]#,##0.00;[Red]\-[$$-409]#,##0.00">
                  <c:v>#N/A</c:v>
                </c:pt>
                <c:pt idx="95" formatCode="[$$-409]#,##0.00;[Red]\-[$$-409]#,##0.00">
                  <c:v>#N/A</c:v>
                </c:pt>
                <c:pt idx="96" formatCode="[$$-409]#,##0.00;[Red]\-[$$-409]#,##0.00">
                  <c:v>#N/A</c:v>
                </c:pt>
                <c:pt idx="97" formatCode="[$$-409]#,##0.00;[Red]\-[$$-409]#,##0.00">
                  <c:v>#N/A</c:v>
                </c:pt>
                <c:pt idx="98" formatCode="[$$-409]#,##0.00;[Red]\-[$$-409]#,##0.00">
                  <c:v>#N/A</c:v>
                </c:pt>
                <c:pt idx="99" formatCode="[$$-409]#,##0.00;[Red]\-[$$-409]#,##0.00">
                  <c:v>#N/A</c:v>
                </c:pt>
              </c:numCache>
            </c:numRef>
          </c:yVal>
          <c:smooth val="1"/>
          <c:extLst>
            <c:ext xmlns:c16="http://schemas.microsoft.com/office/drawing/2014/chart" uri="{C3380CC4-5D6E-409C-BE32-E72D297353CC}">
              <c16:uniqueId val="{00000000-A9A7-430A-86C0-5A895D26C0CC}"/>
            </c:ext>
          </c:extLst>
        </c:ser>
        <c:dLbls>
          <c:showLegendKey val="0"/>
          <c:showVal val="0"/>
          <c:showCatName val="0"/>
          <c:showSerName val="0"/>
          <c:showPercent val="0"/>
          <c:showBubbleSize val="0"/>
        </c:dLbls>
        <c:axId val="43630562"/>
        <c:axId val="5266777"/>
      </c:scatterChart>
      <c:valAx>
        <c:axId val="43630562"/>
        <c:scaling>
          <c:orientation val="minMax"/>
        </c:scaling>
        <c:delete val="0"/>
        <c:axPos val="b"/>
        <c:majorGridlines>
          <c:spPr>
            <a:ln w="0">
              <a:solidFill>
                <a:srgbClr val="B3B3B3"/>
              </a:solidFill>
            </a:ln>
          </c:spPr>
        </c:majorGridlines>
        <c:title>
          <c:tx>
            <c:rich>
              <a:bodyPr rot="0"/>
              <a:lstStyle/>
              <a:p>
                <a:pPr>
                  <a:defRPr sz="1300" b="0" u="none" strike="noStrike">
                    <a:uFillTx/>
                    <a:latin typeface="Arial"/>
                  </a:defRPr>
                </a:pPr>
                <a:r>
                  <a:rPr lang="en-US" sz="1000" b="1" u="none" strike="noStrike">
                    <a:solidFill>
                      <a:srgbClr val="000000"/>
                    </a:solidFill>
                    <a:uFillTx/>
                    <a:latin typeface="Calibri"/>
                    <a:ea typeface="Calibri"/>
                  </a:rPr>
                  <a:t>Age</a:t>
                </a:r>
              </a:p>
            </c:rich>
          </c:tx>
          <c:overlay val="0"/>
          <c:spPr>
            <a:noFill/>
            <a:ln w="0">
              <a:noFill/>
            </a:ln>
          </c:spPr>
        </c:title>
        <c:numFmt formatCode="0" sourceLinked="0"/>
        <c:majorTickMark val="none"/>
        <c:minorTickMark val="none"/>
        <c:tickLblPos val="nextTo"/>
        <c:spPr>
          <a:ln w="0">
            <a:solidFill>
              <a:srgbClr val="B3B3B3"/>
            </a:solidFill>
          </a:ln>
        </c:spPr>
        <c:txPr>
          <a:bodyPr/>
          <a:lstStyle/>
          <a:p>
            <a:pPr>
              <a:defRPr sz="1000" b="0" u="none" strike="noStrike">
                <a:solidFill>
                  <a:srgbClr val="000000"/>
                </a:solidFill>
                <a:uFillTx/>
                <a:latin typeface="Calibri"/>
                <a:ea typeface="Calibri"/>
              </a:defRPr>
            </a:pPr>
            <a:endParaRPr lang="en-US"/>
          </a:p>
        </c:txPr>
        <c:crossAx val="5266777"/>
        <c:crosses val="autoZero"/>
        <c:crossBetween val="midCat"/>
      </c:valAx>
      <c:valAx>
        <c:axId val="5266777"/>
        <c:scaling>
          <c:orientation val="minMax"/>
        </c:scaling>
        <c:delete val="0"/>
        <c:axPos val="l"/>
        <c:majorGridlines>
          <c:spPr>
            <a:ln w="0">
              <a:solidFill>
                <a:srgbClr val="B3B3B3"/>
              </a:solidFill>
            </a:ln>
          </c:spPr>
        </c:majorGridlines>
        <c:title>
          <c:tx>
            <c:rich>
              <a:bodyPr rot="-5400000"/>
              <a:lstStyle/>
              <a:p>
                <a:pPr>
                  <a:defRPr sz="1300" b="0" u="none" strike="noStrike">
                    <a:uFillTx/>
                    <a:latin typeface="Arial"/>
                  </a:defRPr>
                </a:pPr>
                <a:r>
                  <a:rPr lang="en-US" sz="1000" b="1" u="none" strike="noStrike">
                    <a:solidFill>
                      <a:srgbClr val="000000"/>
                    </a:solidFill>
                    <a:uFillTx/>
                    <a:latin typeface="Calibri"/>
                    <a:ea typeface="Calibri"/>
                  </a:rPr>
                  <a:t>Fund Balance ($)</a:t>
                </a:r>
              </a:p>
            </c:rich>
          </c:tx>
          <c:overlay val="0"/>
          <c:spPr>
            <a:noFill/>
            <a:ln w="0">
              <a:noFill/>
            </a:ln>
          </c:spPr>
        </c:title>
        <c:numFmt formatCode="\$#,##0" sourceLinked="0"/>
        <c:majorTickMark val="none"/>
        <c:minorTickMark val="none"/>
        <c:tickLblPos val="nextTo"/>
        <c:spPr>
          <a:ln w="0">
            <a:solidFill>
              <a:srgbClr val="B3B3B3"/>
            </a:solidFill>
          </a:ln>
        </c:spPr>
        <c:txPr>
          <a:bodyPr/>
          <a:lstStyle/>
          <a:p>
            <a:pPr>
              <a:defRPr sz="1000" b="0" u="none" strike="noStrike">
                <a:solidFill>
                  <a:srgbClr val="000000"/>
                </a:solidFill>
                <a:uFillTx/>
                <a:latin typeface="Calibri"/>
                <a:ea typeface="Calibri"/>
              </a:defRPr>
            </a:pPr>
            <a:endParaRPr lang="en-US"/>
          </a:p>
        </c:txPr>
        <c:crossAx val="43630562"/>
        <c:crosses val="autoZero"/>
        <c:crossBetween val="midCat"/>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11</xdr:col>
      <xdr:colOff>533880</xdr:colOff>
      <xdr:row>12</xdr:row>
      <xdr:rowOff>213840</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7933C"/>
  </sheetPr>
  <dimension ref="A1:H29"/>
  <sheetViews>
    <sheetView tabSelected="1" zoomScaleNormal="100" workbookViewId="0">
      <selection activeCell="B14" sqref="B14"/>
    </sheetView>
  </sheetViews>
  <sheetFormatPr defaultColWidth="14.42578125" defaultRowHeight="15" customHeight="1" x14ac:dyDescent="0.25"/>
  <cols>
    <col min="1" max="1" width="34" style="1" customWidth="1"/>
    <col min="2" max="2" width="16" style="1" customWidth="1"/>
    <col min="3" max="3" width="1.5703125" style="1" customWidth="1"/>
    <col min="4" max="4" width="30.28515625" style="1" customWidth="1"/>
    <col min="5" max="8" width="8.5703125" style="1" customWidth="1"/>
  </cols>
  <sheetData>
    <row r="1" spans="1:4" ht="21" customHeight="1" x14ac:dyDescent="0.25">
      <c r="A1" s="90" t="s">
        <v>0</v>
      </c>
      <c r="B1" s="90"/>
      <c r="C1" s="2"/>
      <c r="D1" s="3" t="s">
        <v>1</v>
      </c>
    </row>
    <row r="2" spans="1:4" ht="15.75" customHeight="1" x14ac:dyDescent="0.25">
      <c r="A2" s="4" t="s">
        <v>2</v>
      </c>
      <c r="B2" s="5">
        <v>63</v>
      </c>
      <c r="C2" s="6"/>
      <c r="D2" s="7" t="s">
        <v>3</v>
      </c>
    </row>
    <row r="3" spans="1:4" ht="18" customHeight="1" x14ac:dyDescent="0.25">
      <c r="A3" s="8" t="s">
        <v>4</v>
      </c>
      <c r="B3" s="5">
        <v>37</v>
      </c>
      <c r="C3" s="6"/>
      <c r="D3" s="9">
        <f>SUM(Projection!$D$3:$D$102)</f>
        <v>182400</v>
      </c>
    </row>
    <row r="4" spans="1:4" ht="15.75" customHeight="1" x14ac:dyDescent="0.25">
      <c r="A4" s="4" t="s">
        <v>5</v>
      </c>
      <c r="B4" s="10">
        <v>400</v>
      </c>
      <c r="C4" s="11"/>
      <c r="D4" s="7" t="s">
        <v>6</v>
      </c>
    </row>
    <row r="5" spans="1:4" ht="18" customHeight="1" x14ac:dyDescent="0.25">
      <c r="A5" s="8" t="s">
        <v>7</v>
      </c>
      <c r="B5" s="5">
        <v>7</v>
      </c>
      <c r="C5" s="6"/>
      <c r="D5" s="9">
        <f>SUM(Projection!$H$3:$H$102)</f>
        <v>194090.9658419652</v>
      </c>
    </row>
    <row r="6" spans="1:4" ht="15.75" customHeight="1" x14ac:dyDescent="0.25">
      <c r="A6" s="4" t="s">
        <v>8</v>
      </c>
      <c r="B6" s="5">
        <v>3</v>
      </c>
      <c r="C6" s="6"/>
      <c r="D6" s="12" t="s">
        <v>9</v>
      </c>
    </row>
    <row r="7" spans="1:4" ht="18" customHeight="1" x14ac:dyDescent="0.25">
      <c r="A7" s="8" t="s">
        <v>10</v>
      </c>
      <c r="B7" s="10">
        <v>20000</v>
      </c>
      <c r="C7" s="11"/>
      <c r="D7" s="9">
        <f>INDEX(Projection!$I$3:$I$103,Inputs!$B$3+1)+SUM(Projection!$H$3:$H$102)-Inputs!$B$9-SUM(Projection!$D$3:$D$102)</f>
        <v>209703.84381998854</v>
      </c>
    </row>
    <row r="8" spans="1:4" ht="30" customHeight="1" x14ac:dyDescent="0.25">
      <c r="A8" s="13" t="s">
        <v>11</v>
      </c>
      <c r="B8" s="5">
        <v>7</v>
      </c>
      <c r="C8" s="6"/>
      <c r="D8" s="14" t="s">
        <v>12</v>
      </c>
    </row>
    <row r="9" spans="1:4" ht="18" customHeight="1" x14ac:dyDescent="0.25">
      <c r="A9" s="8" t="s">
        <v>13</v>
      </c>
      <c r="B9" s="15">
        <v>0</v>
      </c>
      <c r="C9" s="16"/>
      <c r="D9" s="17">
        <f>INDEX(Projection!$I$3:$I$103,Inputs!$B$3+1)</f>
        <v>198012.87797802337</v>
      </c>
    </row>
    <row r="10" spans="1:4" ht="60" customHeight="1" x14ac:dyDescent="0.25">
      <c r="A10" s="13" t="s">
        <v>14</v>
      </c>
      <c r="B10" s="5">
        <v>0</v>
      </c>
      <c r="C10" s="6"/>
      <c r="D10" s="12" t="s">
        <v>15</v>
      </c>
    </row>
    <row r="11" spans="1:4" ht="18" customHeight="1" x14ac:dyDescent="0.25">
      <c r="A11" s="91" t="s">
        <v>16</v>
      </c>
      <c r="B11" s="91"/>
      <c r="C11" s="18"/>
      <c r="D11" s="19">
        <f>Projection!J18</f>
        <v>19</v>
      </c>
    </row>
    <row r="12" spans="1:4" ht="18" customHeight="1" x14ac:dyDescent="0.25">
      <c r="A12" s="92" t="s">
        <v>17</v>
      </c>
      <c r="B12" s="92"/>
      <c r="C12" s="20"/>
      <c r="D12" s="7" t="s">
        <v>18</v>
      </c>
    </row>
    <row r="13" spans="1:4" ht="18" customHeight="1" x14ac:dyDescent="0.25">
      <c r="A13" s="21"/>
      <c r="B13" s="21"/>
      <c r="C13" s="22"/>
      <c r="D13" s="19">
        <f>Projection!J19</f>
        <v>81</v>
      </c>
    </row>
    <row r="14" spans="1:4" ht="15.75" customHeight="1" x14ac:dyDescent="0.25">
      <c r="A14" s="21"/>
      <c r="B14" s="21"/>
      <c r="C14" s="22"/>
      <c r="D14" s="23" t="s">
        <v>19</v>
      </c>
    </row>
    <row r="15" spans="1:4" ht="18" customHeight="1" x14ac:dyDescent="0.25">
      <c r="A15" s="21"/>
      <c r="B15" s="21"/>
      <c r="C15" s="22"/>
      <c r="D15" s="19">
        <f>Inputs!$B$2+Inputs!$B$3</f>
        <v>100</v>
      </c>
    </row>
    <row r="16" spans="1:4" ht="15.75" customHeight="1" x14ac:dyDescent="0.25">
      <c r="A16" s="21"/>
      <c r="B16" s="21"/>
      <c r="C16" s="22"/>
      <c r="D16" s="12" t="s">
        <v>20</v>
      </c>
    </row>
    <row r="17" spans="1:4" ht="18" customHeight="1" x14ac:dyDescent="0.25">
      <c r="A17" s="21"/>
      <c r="B17" s="21"/>
      <c r="C17" s="22"/>
      <c r="D17" s="24">
        <f>IFERROR(INDEX(Projection!$I$3:$I$103,Inputs!$B$3+1)/(Inputs!$B$7*(1+Inputs!$B$6/100)^Inputs!$B$3),"—")</f>
        <v>3.3165467709325833</v>
      </c>
    </row>
    <row r="18" spans="1:4" ht="15" customHeight="1" x14ac:dyDescent="0.25">
      <c r="A18" s="25"/>
      <c r="B18" s="25"/>
      <c r="C18" s="25"/>
      <c r="D18" s="26"/>
    </row>
    <row r="19" spans="1:4" ht="15" customHeight="1" x14ac:dyDescent="0.25">
      <c r="A19" s="27"/>
      <c r="B19" s="28"/>
      <c r="C19" s="28"/>
      <c r="D19" s="21"/>
    </row>
    <row r="20" spans="1:4" ht="15" customHeight="1" x14ac:dyDescent="0.25">
      <c r="A20" s="29"/>
      <c r="B20" s="29"/>
      <c r="C20" s="29"/>
      <c r="D20" s="21"/>
    </row>
    <row r="21" spans="1:4" ht="15" customHeight="1" x14ac:dyDescent="0.25">
      <c r="A21" s="30"/>
      <c r="B21" s="31"/>
      <c r="C21" s="31"/>
      <c r="D21" s="21"/>
    </row>
    <row r="22" spans="1:4" ht="15" customHeight="1" x14ac:dyDescent="0.25">
      <c r="A22" s="32"/>
      <c r="B22" s="29"/>
      <c r="C22" s="33"/>
      <c r="D22" s="34"/>
    </row>
    <row r="23" spans="1:4" ht="15" customHeight="1" x14ac:dyDescent="0.25">
      <c r="A23" s="35"/>
    </row>
    <row r="26" spans="1:4" ht="15" customHeight="1" x14ac:dyDescent="0.25">
      <c r="A26" s="35"/>
      <c r="B26" s="36"/>
      <c r="C26" s="36"/>
    </row>
    <row r="29" spans="1:4" ht="15" customHeight="1" x14ac:dyDescent="0.25">
      <c r="A29" s="35"/>
      <c r="B29" s="36"/>
      <c r="C29" s="36"/>
    </row>
  </sheetData>
  <sheetProtection algorithmName="SHA-512" hashValue="AsqCFOynj5J1XJeQRtCsPlN2rYBZbPDBNWwXdnRLn+84CNHuxLt9Nys4TGNwpJML+SjJKM5jIqWnhSqqvTYTFA==" saltValue="H3tbRhLjXZbzzkolBtM6VQ==" spinCount="100000" sheet="1" objects="1" scenarios="1"/>
  <mergeCells count="3">
    <mergeCell ref="A1:B1"/>
    <mergeCell ref="A11:B11"/>
    <mergeCell ref="A12:B12"/>
  </mergeCells>
  <dataValidations count="1">
    <dataValidation type="whole" operator="greaterThan" showInputMessage="1" showErrorMessage="1" errorTitle="Invalid Entry" error="Vehicle Replacement Cycle must be a whole number greater than 0." promptTitle="Replacement Cycle" prompt="Enter the number of years between vehicle purchases. Must be 1 or greater." sqref="B8" xr:uid="{00000000-0002-0000-0000-000000000000}">
      <formula1>0</formula1>
      <formula2>0</formula2>
    </dataValidation>
  </dataValidations>
  <pageMargins left="0.7" right="0.7" top="0.75" bottom="0.75" header="0.511811023622047" footer="0.511811023622047"/>
  <pageSetup orientation="landscape"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1000"/>
  <sheetViews>
    <sheetView zoomScaleNormal="100" workbookViewId="0">
      <pane ySplit="2" topLeftCell="A3" activePane="bottomLeft" state="frozen"/>
      <selection pane="bottomLeft" sqref="A1:K1"/>
    </sheetView>
  </sheetViews>
  <sheetFormatPr defaultColWidth="14.42578125" defaultRowHeight="15" customHeight="1" x14ac:dyDescent="0.25"/>
  <cols>
    <col min="1" max="2" width="6" style="1" customWidth="1"/>
    <col min="3" max="3" width="11.140625" style="1" customWidth="1"/>
    <col min="4" max="4" width="11" style="1" customWidth="1"/>
    <col min="5" max="5" width="8" style="37" customWidth="1"/>
    <col min="6" max="6" width="10" style="1" customWidth="1"/>
    <col min="7" max="7" width="14.5703125" style="1" customWidth="1"/>
    <col min="8" max="8" width="13" style="1" customWidth="1"/>
    <col min="9" max="9" width="14" style="1" customWidth="1"/>
    <col min="10" max="10" width="23.5703125" style="1" customWidth="1"/>
    <col min="11" max="11" width="14" style="1" customWidth="1"/>
    <col min="12" max="29" width="0.5703125" style="1" customWidth="1"/>
  </cols>
  <sheetData>
    <row r="1" spans="1:29" ht="30" customHeight="1" x14ac:dyDescent="0.25">
      <c r="A1" s="93" t="s">
        <v>21</v>
      </c>
      <c r="B1" s="93"/>
      <c r="C1" s="93"/>
      <c r="D1" s="93"/>
      <c r="E1" s="93"/>
      <c r="F1" s="93"/>
      <c r="G1" s="93"/>
      <c r="H1" s="93"/>
      <c r="I1" s="93"/>
      <c r="J1" s="93"/>
      <c r="K1" s="93"/>
    </row>
    <row r="2" spans="1:29" ht="36" customHeight="1" x14ac:dyDescent="0.25">
      <c r="A2" s="38" t="s">
        <v>22</v>
      </c>
      <c r="B2" s="38" t="s">
        <v>23</v>
      </c>
      <c r="C2" s="38" t="s">
        <v>24</v>
      </c>
      <c r="D2" s="38" t="s">
        <v>25</v>
      </c>
      <c r="E2" s="38" t="s">
        <v>26</v>
      </c>
      <c r="F2" s="38" t="s">
        <v>27</v>
      </c>
      <c r="G2" s="38" t="s">
        <v>28</v>
      </c>
      <c r="H2" s="38" t="s">
        <v>29</v>
      </c>
      <c r="I2" s="38" t="s">
        <v>30</v>
      </c>
      <c r="J2" s="38" t="s">
        <v>31</v>
      </c>
      <c r="K2" s="38" t="s">
        <v>32</v>
      </c>
    </row>
    <row r="3" spans="1:29" ht="15.75" customHeight="1" x14ac:dyDescent="0.25">
      <c r="A3" s="39">
        <f>IF(ROW()-2&lt;=Inputs!$B$3+1,ROW()-2,"")</f>
        <v>1</v>
      </c>
      <c r="B3" s="39">
        <f>IF($A3="","",Inputs!$B$2+$A3-1)</f>
        <v>63</v>
      </c>
      <c r="C3" s="40">
        <f>IF($A3="","",IF($A3=1,Inputs!$B$9,I2))</f>
        <v>0</v>
      </c>
      <c r="D3" s="40">
        <f>IF($A3="","",Inputs!$B$4*12*(1+Inputs!$B$10/100)^($A3-1))</f>
        <v>4800</v>
      </c>
      <c r="E3" s="40">
        <f t="shared" ref="E3:E34" si="0">IF($A3="","",D3/12)</f>
        <v>400</v>
      </c>
      <c r="F3" s="40">
        <f>IF($A3="","",C3*(Inputs!$B$5/100))</f>
        <v>0</v>
      </c>
      <c r="G3" s="40">
        <f>IF($A3="","",IF(OR(Inputs!$B$8&lt;=0,Inputs!$B$8=""),0,IF(AND($A3&gt;=Inputs!$B$8,MOD($A3,Inputs!$B$8)=0),Inputs!$B$7*(1+Inputs!$B$6/100)^$A3,0)))</f>
        <v>0</v>
      </c>
      <c r="H3" s="40">
        <f t="shared" ref="H3:H34" si="1">IF($A3="","",G3)</f>
        <v>0</v>
      </c>
      <c r="I3" s="40">
        <f t="shared" ref="I3:I34" si="2">IF($A3="","",C3+D3+F3-H3)</f>
        <v>4800</v>
      </c>
      <c r="J3" s="41" t="s">
        <v>3</v>
      </c>
      <c r="K3" s="42">
        <f>IF($A3="","",IFERROR(I3/(Inputs!$B$7*(1+Inputs!$B$6/100)^$A3),"-"))</f>
        <v>0.23300970873786409</v>
      </c>
      <c r="L3" s="43">
        <f t="shared" ref="L3:L34" si="3">IFERROR(IF($A3="",NA(),IFERROR(VALUE(B3),NA())),NA())</f>
        <v>63</v>
      </c>
      <c r="M3" s="43">
        <f t="shared" ref="M3:M34" si="4">IF($A3="",NA(),I3)</f>
        <v>4800</v>
      </c>
      <c r="N3" s="44"/>
      <c r="O3" s="44"/>
      <c r="P3" s="44"/>
      <c r="Q3" s="44"/>
      <c r="R3" s="44"/>
      <c r="S3" s="44"/>
      <c r="T3" s="44"/>
      <c r="U3" s="44"/>
      <c r="V3" s="44"/>
      <c r="W3" s="44"/>
      <c r="X3" s="44"/>
      <c r="Y3" s="44"/>
      <c r="Z3" s="44"/>
      <c r="AA3" s="44"/>
      <c r="AB3" s="44"/>
      <c r="AC3" s="44"/>
    </row>
    <row r="4" spans="1:29" ht="15.75" customHeight="1" x14ac:dyDescent="0.25">
      <c r="A4" s="45">
        <f>IF(ROW()-2&lt;=Inputs!$B$3+1,ROW()-2,"")</f>
        <v>2</v>
      </c>
      <c r="B4" s="45">
        <f>IF($A4="","",Inputs!$B$2+$A4-1)</f>
        <v>64</v>
      </c>
      <c r="C4" s="46">
        <f>IF($A4="","",IF($A4=1,Inputs!$B$9,I3))</f>
        <v>4800</v>
      </c>
      <c r="D4" s="46">
        <f>IF($A4="","",Inputs!$B$4*12*(1+Inputs!$B$10/100)^($A4-1))</f>
        <v>4800</v>
      </c>
      <c r="E4" s="46">
        <f t="shared" si="0"/>
        <v>400</v>
      </c>
      <c r="F4" s="46">
        <f>IF($A4="","",C4*(Inputs!$B$5/100))</f>
        <v>336.00000000000006</v>
      </c>
      <c r="G4" s="46">
        <f>IF($A4="","",IF(OR(Inputs!$B$8&lt;=0,Inputs!$B$8=""),0,IF(AND($A4&gt;=Inputs!$B$8,MOD($A4,Inputs!$B$8)=0),Inputs!$B$7*(1+Inputs!$B$6/100)^$A4,0)))</f>
        <v>0</v>
      </c>
      <c r="H4" s="46">
        <f t="shared" si="1"/>
        <v>0</v>
      </c>
      <c r="I4" s="46">
        <f t="shared" si="2"/>
        <v>9936</v>
      </c>
      <c r="J4" s="47">
        <f>SUM($D$3:$D$102)</f>
        <v>182400</v>
      </c>
      <c r="K4" s="48">
        <f>IF($A4="","",IFERROR(I4/(Inputs!$B$7*(1+Inputs!$B$6/100)^$A4),"-"))</f>
        <v>0.46828164765764918</v>
      </c>
      <c r="L4" s="49">
        <f t="shared" si="3"/>
        <v>64</v>
      </c>
      <c r="M4" s="50">
        <f t="shared" si="4"/>
        <v>9936</v>
      </c>
      <c r="P4" s="44"/>
      <c r="Q4" s="44"/>
      <c r="R4" s="44"/>
      <c r="S4" s="44"/>
      <c r="T4" s="44"/>
      <c r="U4" s="44"/>
      <c r="V4" s="44"/>
      <c r="W4" s="44"/>
      <c r="X4" s="44"/>
      <c r="Y4" s="44"/>
      <c r="Z4" s="44"/>
      <c r="AA4" s="44"/>
      <c r="AB4" s="44"/>
      <c r="AC4" s="44"/>
    </row>
    <row r="5" spans="1:29" ht="15.75" customHeight="1" x14ac:dyDescent="0.25">
      <c r="A5" s="39">
        <f>IF(ROW()-2&lt;=Inputs!$B$3+1,ROW()-2,"")</f>
        <v>3</v>
      </c>
      <c r="B5" s="39">
        <f>IF($A5="","",Inputs!$B$2+$A5-1)</f>
        <v>65</v>
      </c>
      <c r="C5" s="40">
        <f>IF($A5="","",IF($A5=1,Inputs!$B$9,I4))</f>
        <v>9936</v>
      </c>
      <c r="D5" s="40">
        <f>IF($A5="","",Inputs!$B$4*12*(1+Inputs!$B$10/100)^($A5-1))</f>
        <v>4800</v>
      </c>
      <c r="E5" s="40">
        <f t="shared" si="0"/>
        <v>400</v>
      </c>
      <c r="F5" s="40">
        <f>IF($A5="","",C5*(Inputs!$B$5/100))</f>
        <v>695.5200000000001</v>
      </c>
      <c r="G5" s="40">
        <f>IF($A5="","",IF(OR(Inputs!$B$8&lt;=0,Inputs!$B$8=""),0,IF(AND($A5&gt;=Inputs!$B$8,MOD($A5,Inputs!$B$8)=0),Inputs!$B$7*(1+Inputs!$B$6/100)^$A5,0)))</f>
        <v>0</v>
      </c>
      <c r="H5" s="40">
        <f t="shared" si="1"/>
        <v>0</v>
      </c>
      <c r="I5" s="40">
        <f t="shared" si="2"/>
        <v>15431.52</v>
      </c>
      <c r="J5" s="51"/>
      <c r="K5" s="42">
        <f>IF($A5="","",IFERROR(I5/(Inputs!$B$7*(1+Inputs!$B$6/100)^$A5),"-"))</f>
        <v>0.70610134095707344</v>
      </c>
      <c r="L5" s="43">
        <f t="shared" si="3"/>
        <v>65</v>
      </c>
      <c r="M5" s="43">
        <f t="shared" si="4"/>
        <v>15431.52</v>
      </c>
      <c r="N5" s="44"/>
      <c r="O5" s="44"/>
      <c r="P5" s="44"/>
      <c r="Q5" s="44"/>
      <c r="R5" s="44"/>
      <c r="S5" s="44"/>
      <c r="T5" s="44"/>
      <c r="U5" s="44"/>
      <c r="V5" s="44"/>
      <c r="W5" s="44"/>
      <c r="X5" s="44"/>
      <c r="Y5" s="44"/>
      <c r="Z5" s="44"/>
      <c r="AA5" s="44"/>
      <c r="AB5" s="44"/>
      <c r="AC5" s="44"/>
    </row>
    <row r="6" spans="1:29" ht="15.75" customHeight="1" x14ac:dyDescent="0.25">
      <c r="A6" s="45">
        <f>IF(ROW()-2&lt;=Inputs!$B$3+1,ROW()-2,"")</f>
        <v>4</v>
      </c>
      <c r="B6" s="45">
        <f>IF($A6="","",Inputs!$B$2+$A6-1)</f>
        <v>66</v>
      </c>
      <c r="C6" s="46">
        <f>IF($A6="","",IF($A6=1,Inputs!$B$9,I5))</f>
        <v>15431.52</v>
      </c>
      <c r="D6" s="46">
        <f>IF($A6="","",Inputs!$B$4*12*(1+Inputs!$B$10/100)^($A6-1))</f>
        <v>4800</v>
      </c>
      <c r="E6" s="46">
        <f t="shared" si="0"/>
        <v>400</v>
      </c>
      <c r="F6" s="46">
        <f>IF($A6="","",C6*(Inputs!$B$5/100))</f>
        <v>1080.2064</v>
      </c>
      <c r="G6" s="46">
        <f>IF($A6="","",IF(OR(Inputs!$B$8&lt;=0,Inputs!$B$8=""),0,IF(AND($A6&gt;=Inputs!$B$8,MOD($A6,Inputs!$B$8)=0),Inputs!$B$7*(1+Inputs!$B$6/100)^$A6,0)))</f>
        <v>0</v>
      </c>
      <c r="H6" s="46">
        <f t="shared" si="1"/>
        <v>0</v>
      </c>
      <c r="I6" s="46">
        <f t="shared" si="2"/>
        <v>21311.7264</v>
      </c>
      <c r="J6" s="41" t="s">
        <v>33</v>
      </c>
      <c r="K6" s="48">
        <f>IF($A6="","",IFERROR(I6/(Inputs!$B$7*(1+Inputs!$B$6/100)^$A6),"-"))</f>
        <v>0.94675964375614263</v>
      </c>
      <c r="L6" s="43">
        <f t="shared" si="3"/>
        <v>66</v>
      </c>
      <c r="M6" s="43">
        <f t="shared" si="4"/>
        <v>21311.7264</v>
      </c>
      <c r="N6" s="44"/>
      <c r="O6" s="44"/>
      <c r="P6" s="44"/>
      <c r="Q6" s="44"/>
      <c r="R6" s="44"/>
      <c r="S6" s="44"/>
      <c r="T6" s="44"/>
      <c r="U6" s="44"/>
      <c r="V6" s="44"/>
      <c r="W6" s="44"/>
      <c r="X6" s="44"/>
      <c r="Y6" s="44"/>
      <c r="Z6" s="44"/>
      <c r="AA6" s="44"/>
      <c r="AB6" s="44"/>
      <c r="AC6" s="44"/>
    </row>
    <row r="7" spans="1:29" ht="15.75" customHeight="1" x14ac:dyDescent="0.25">
      <c r="A7" s="39">
        <f>IF(ROW()-2&lt;=Inputs!$B$3+1,ROW()-2,"")</f>
        <v>5</v>
      </c>
      <c r="B7" s="39">
        <f>IF($A7="","",Inputs!$B$2+$A7-1)</f>
        <v>67</v>
      </c>
      <c r="C7" s="40">
        <f>IF($A7="","",IF($A7=1,Inputs!$B$9,I6))</f>
        <v>21311.7264</v>
      </c>
      <c r="D7" s="40">
        <f>IF($A7="","",Inputs!$B$4*12*(1+Inputs!$B$10/100)^($A7-1))</f>
        <v>4800</v>
      </c>
      <c r="E7" s="40">
        <f t="shared" si="0"/>
        <v>400</v>
      </c>
      <c r="F7" s="40">
        <f>IF($A7="","",C7*(Inputs!$B$5/100))</f>
        <v>1491.8208480000001</v>
      </c>
      <c r="G7" s="40">
        <f>IF($A7="","",IF(OR(Inputs!$B$8&lt;=0,Inputs!$B$8=""),0,IF(AND($A7&gt;=Inputs!$B$8,MOD($A7,Inputs!$B$8)=0),Inputs!$B$7*(1+Inputs!$B$6/100)^$A7,0)))</f>
        <v>0</v>
      </c>
      <c r="H7" s="40">
        <f t="shared" si="1"/>
        <v>0</v>
      </c>
      <c r="I7" s="40">
        <f t="shared" si="2"/>
        <v>27603.547247999999</v>
      </c>
      <c r="J7" s="52">
        <f>Inputs!$B$3</f>
        <v>37</v>
      </c>
      <c r="K7" s="42">
        <f>IF($A7="","",IFERROR(I7/(Inputs!$B$7*(1+Inputs!$B$6/100)^$A7),"-"))</f>
        <v>1.1905531168144059</v>
      </c>
      <c r="L7" s="49">
        <f t="shared" si="3"/>
        <v>67</v>
      </c>
      <c r="M7" s="43">
        <f t="shared" si="4"/>
        <v>27603.547247999999</v>
      </c>
      <c r="N7" s="44"/>
      <c r="O7" s="44"/>
      <c r="P7" s="44"/>
      <c r="Q7" s="44"/>
      <c r="R7" s="44"/>
      <c r="S7" s="44"/>
      <c r="T7" s="44"/>
      <c r="U7" s="44"/>
      <c r="V7" s="44"/>
      <c r="W7" s="44"/>
      <c r="X7" s="44"/>
      <c r="Y7" s="44"/>
      <c r="Z7" s="44"/>
      <c r="AA7" s="44"/>
      <c r="AB7" s="44"/>
      <c r="AC7" s="44"/>
    </row>
    <row r="8" spans="1:29" ht="15.75" customHeight="1" x14ac:dyDescent="0.25">
      <c r="A8" s="45">
        <f>IF(ROW()-2&lt;=Inputs!$B$3+1,ROW()-2,"")</f>
        <v>6</v>
      </c>
      <c r="B8" s="45">
        <f>IF($A8="","",Inputs!$B$2+$A8-1)</f>
        <v>68</v>
      </c>
      <c r="C8" s="46">
        <f>IF($A8="","",IF($A8=1,Inputs!$B$9,I7))</f>
        <v>27603.547247999999</v>
      </c>
      <c r="D8" s="46">
        <f>IF($A8="","",Inputs!$B$4*12*(1+Inputs!$B$10/100)^($A8-1))</f>
        <v>4800</v>
      </c>
      <c r="E8" s="46">
        <f t="shared" si="0"/>
        <v>400</v>
      </c>
      <c r="F8" s="46">
        <f>IF($A8="","",C8*(Inputs!$B$5/100))</f>
        <v>1932.2483073600001</v>
      </c>
      <c r="G8" s="46">
        <f>IF($A8="","",IF(OR(Inputs!$B$8&lt;=0,Inputs!$B$8=""),0,IF(AND($A8&gt;=Inputs!$B$8,MOD($A8,Inputs!$B$8)=0),Inputs!$B$7*(1+Inputs!$B$6/100)^$A8,0)))</f>
        <v>0</v>
      </c>
      <c r="H8" s="46">
        <f t="shared" si="1"/>
        <v>0</v>
      </c>
      <c r="I8" s="46">
        <f t="shared" si="2"/>
        <v>34335.795555359997</v>
      </c>
      <c r="J8" s="53" t="s">
        <v>34</v>
      </c>
      <c r="K8" s="48">
        <f>IF($A8="","",IFERROR(I8/(Inputs!$B$7*(1+Inputs!$B$6/100)^$A8),"-"))</f>
        <v>1.4377844109161295</v>
      </c>
      <c r="L8" s="49">
        <f t="shared" si="3"/>
        <v>68</v>
      </c>
      <c r="M8" s="43">
        <f t="shared" si="4"/>
        <v>34335.795555359997</v>
      </c>
      <c r="N8" s="44"/>
      <c r="O8" s="44"/>
      <c r="P8" s="44"/>
      <c r="Q8" s="44"/>
      <c r="R8" s="44"/>
      <c r="S8" s="44"/>
      <c r="T8" s="44"/>
      <c r="U8" s="44"/>
      <c r="V8" s="44"/>
      <c r="W8" s="44"/>
      <c r="X8" s="44"/>
      <c r="Y8" s="44"/>
      <c r="Z8" s="44"/>
      <c r="AA8" s="44"/>
      <c r="AB8" s="44"/>
      <c r="AC8" s="44"/>
    </row>
    <row r="9" spans="1:29" ht="15.75" customHeight="1" x14ac:dyDescent="0.25">
      <c r="A9" s="39">
        <f>IF(ROW()-2&lt;=Inputs!$B$3+1,ROW()-2,"")</f>
        <v>7</v>
      </c>
      <c r="B9" s="39">
        <f>IF($A9="","",Inputs!$B$2+$A9-1)</f>
        <v>69</v>
      </c>
      <c r="C9" s="40">
        <f>IF($A9="","",IF($A9=1,Inputs!$B$9,I8))</f>
        <v>34335.795555359997</v>
      </c>
      <c r="D9" s="40">
        <f>IF($A9="","",Inputs!$B$4*12*(1+Inputs!$B$10/100)^($A9-1))</f>
        <v>4800</v>
      </c>
      <c r="E9" s="40">
        <f t="shared" si="0"/>
        <v>400</v>
      </c>
      <c r="F9" s="40">
        <f>IF($A9="","",C9*(Inputs!$B$5/100))</f>
        <v>2403.5056888752001</v>
      </c>
      <c r="G9" s="40">
        <f>IF($A9="","",IF(OR(Inputs!$B$8&lt;=0,Inputs!$B$8=""),0,IF(AND($A9&gt;=Inputs!$B$8,MOD($A9,Inputs!$B$8)=0),Inputs!$B$7*(1+Inputs!$B$6/100)^$A9,0)))</f>
        <v>24597.4773084974</v>
      </c>
      <c r="H9" s="40">
        <f t="shared" si="1"/>
        <v>24597.4773084974</v>
      </c>
      <c r="I9" s="40">
        <f t="shared" si="2"/>
        <v>16941.823935737797</v>
      </c>
      <c r="J9" s="47">
        <f>SUM($H$3:$H$102)</f>
        <v>194090.9658419652</v>
      </c>
      <c r="K9" s="42">
        <f>IF($A9="","",IFERROR(I9/(Inputs!$B$7*(1+Inputs!$B$6/100)^$A9),"-"))</f>
        <v>0.68876266144110254</v>
      </c>
      <c r="L9" s="54">
        <f t="shared" si="3"/>
        <v>69</v>
      </c>
      <c r="M9" s="43">
        <f t="shared" si="4"/>
        <v>16941.823935737797</v>
      </c>
      <c r="N9" s="44"/>
      <c r="O9" s="44"/>
      <c r="P9" s="44"/>
      <c r="Q9" s="44"/>
      <c r="R9" s="44"/>
      <c r="S9" s="44"/>
      <c r="T9" s="44"/>
      <c r="U9" s="44"/>
      <c r="V9" s="44"/>
      <c r="W9" s="44"/>
      <c r="X9" s="44"/>
      <c r="Y9" s="44"/>
      <c r="Z9" s="44"/>
      <c r="AA9" s="44"/>
      <c r="AB9" s="44"/>
      <c r="AC9" s="44"/>
    </row>
    <row r="10" spans="1:29" ht="15.75" customHeight="1" x14ac:dyDescent="0.25">
      <c r="A10" s="45">
        <f>IF(ROW()-2&lt;=Inputs!$B$3+1,ROW()-2,"")</f>
        <v>8</v>
      </c>
      <c r="B10" s="45">
        <f>IF($A10="","",Inputs!$B$2+$A10-1)</f>
        <v>70</v>
      </c>
      <c r="C10" s="46">
        <f>IF($A10="","",IF($A10=1,Inputs!$B$9,I9))</f>
        <v>16941.823935737797</v>
      </c>
      <c r="D10" s="46">
        <f>IF($A10="","",Inputs!$B$4*12*(1+Inputs!$B$10/100)^($A10-1))</f>
        <v>4800</v>
      </c>
      <c r="E10" s="46">
        <f t="shared" si="0"/>
        <v>400</v>
      </c>
      <c r="F10" s="46">
        <f>IF($A10="","",C10*(Inputs!$B$5/100))</f>
        <v>1185.9276755016458</v>
      </c>
      <c r="G10" s="46">
        <f>IF($A10="","",IF(OR(Inputs!$B$8&lt;=0,Inputs!$B$8=""),0,IF(AND($A10&gt;=Inputs!$B$8,MOD($A10,Inputs!$B$8)=0),Inputs!$B$7*(1+Inputs!$B$6/100)^$A10,0)))</f>
        <v>0</v>
      </c>
      <c r="H10" s="46">
        <f t="shared" si="1"/>
        <v>0</v>
      </c>
      <c r="I10" s="46">
        <f t="shared" si="2"/>
        <v>22927.751611239444</v>
      </c>
      <c r="J10" s="55"/>
      <c r="K10" s="48">
        <f>IF($A10="","",IFERROR(I10/(Inputs!$B$7*(1+Inputs!$B$6/100)^$A10),"-"))</f>
        <v>0.90496894219843182</v>
      </c>
      <c r="L10" s="54">
        <f t="shared" si="3"/>
        <v>70</v>
      </c>
      <c r="M10" s="43">
        <f t="shared" si="4"/>
        <v>22927.751611239444</v>
      </c>
      <c r="N10" s="44"/>
      <c r="O10" s="44"/>
      <c r="P10" s="44"/>
      <c r="Q10" s="44"/>
      <c r="R10" s="44"/>
      <c r="S10" s="44"/>
      <c r="T10" s="44"/>
      <c r="U10" s="44"/>
      <c r="V10" s="44"/>
      <c r="W10" s="44"/>
      <c r="X10" s="44"/>
      <c r="Y10" s="44"/>
      <c r="Z10" s="44"/>
      <c r="AA10" s="44"/>
      <c r="AB10" s="44"/>
      <c r="AC10" s="44"/>
    </row>
    <row r="11" spans="1:29" ht="15.75" customHeight="1" x14ac:dyDescent="0.25">
      <c r="A11" s="39">
        <f>IF(ROW()-2&lt;=Inputs!$B$3+1,ROW()-2,"")</f>
        <v>9</v>
      </c>
      <c r="B11" s="39">
        <f>IF($A11="","",Inputs!$B$2+$A11-1)</f>
        <v>71</v>
      </c>
      <c r="C11" s="40">
        <f>IF($A11="","",IF($A11=1,Inputs!$B$9,I10))</f>
        <v>22927.751611239444</v>
      </c>
      <c r="D11" s="40">
        <f>IF($A11="","",Inputs!$B$4*12*(1+Inputs!$B$10/100)^($A11-1))</f>
        <v>4800</v>
      </c>
      <c r="E11" s="40">
        <f t="shared" si="0"/>
        <v>400</v>
      </c>
      <c r="F11" s="40">
        <f>IF($A11="","",C11*(Inputs!$B$5/100))</f>
        <v>1604.9426127867612</v>
      </c>
      <c r="G11" s="40">
        <f>IF($A11="","",IF(OR(Inputs!$B$8&lt;=0,Inputs!$B$8=""),0,IF(AND($A11&gt;=Inputs!$B$8,MOD($A11,Inputs!$B$8)=0),Inputs!$B$7*(1+Inputs!$B$6/100)^$A11,0)))</f>
        <v>0</v>
      </c>
      <c r="H11" s="40">
        <f t="shared" si="1"/>
        <v>0</v>
      </c>
      <c r="I11" s="40">
        <f t="shared" si="2"/>
        <v>29332.694224026207</v>
      </c>
      <c r="J11" s="56" t="s">
        <v>9</v>
      </c>
      <c r="K11" s="42">
        <f>IF($A11="","",IFERROR(I11/(Inputs!$B$7*(1+Inputs!$B$6/100)^$A11),"-"))</f>
        <v>1.1240533829006474</v>
      </c>
      <c r="L11" s="54">
        <f t="shared" si="3"/>
        <v>71</v>
      </c>
      <c r="M11" s="43">
        <f t="shared" si="4"/>
        <v>29332.694224026207</v>
      </c>
      <c r="N11" s="44"/>
      <c r="O11" s="44"/>
      <c r="P11" s="44"/>
      <c r="Q11" s="44"/>
      <c r="R11" s="44"/>
      <c r="S11" s="44"/>
      <c r="T11" s="44"/>
      <c r="U11" s="44"/>
      <c r="V11" s="44"/>
      <c r="W11" s="44"/>
      <c r="X11" s="44"/>
      <c r="Y11" s="44"/>
      <c r="Z11" s="44"/>
      <c r="AA11" s="44"/>
      <c r="AB11" s="44"/>
      <c r="AC11" s="44"/>
    </row>
    <row r="12" spans="1:29" ht="15.75" customHeight="1" x14ac:dyDescent="0.25">
      <c r="A12" s="45">
        <f>IF(ROW()-2&lt;=Inputs!$B$3+1,ROW()-2,"")</f>
        <v>10</v>
      </c>
      <c r="B12" s="45">
        <f>IF($A12="","",Inputs!$B$2+$A12-1)</f>
        <v>72</v>
      </c>
      <c r="C12" s="46">
        <f>IF($A12="","",IF($A12=1,Inputs!$B$9,I11))</f>
        <v>29332.694224026207</v>
      </c>
      <c r="D12" s="46">
        <f>IF($A12="","",Inputs!$B$4*12*(1+Inputs!$B$10/100)^($A12-1))</f>
        <v>4800</v>
      </c>
      <c r="E12" s="46">
        <f t="shared" si="0"/>
        <v>400</v>
      </c>
      <c r="F12" s="46">
        <f>IF($A12="","",C12*(Inputs!$B$5/100))</f>
        <v>2053.2885956818345</v>
      </c>
      <c r="G12" s="46">
        <f>IF($A12="","",IF(OR(Inputs!$B$8&lt;=0,Inputs!$B$8=""),0,IF(AND($A12&gt;=Inputs!$B$8,MOD($A12,Inputs!$B$8)=0),Inputs!$B$7*(1+Inputs!$B$6/100)^$A12,0)))</f>
        <v>0</v>
      </c>
      <c r="H12" s="46">
        <f t="shared" si="1"/>
        <v>0</v>
      </c>
      <c r="I12" s="46">
        <f t="shared" si="2"/>
        <v>36185.982819708042</v>
      </c>
      <c r="J12" s="47">
        <f>J15+J9-Inputs!$B$9-J4</f>
        <v>209703.84381998854</v>
      </c>
      <c r="K12" s="48">
        <f>IF($A12="","",IFERROR(I12/(Inputs!$B$7*(1+Inputs!$B$6/100)^$A12),"-"))</f>
        <v>1.3462884810351099</v>
      </c>
      <c r="L12" s="54">
        <f t="shared" si="3"/>
        <v>72</v>
      </c>
      <c r="M12" s="43">
        <f t="shared" si="4"/>
        <v>36185.982819708042</v>
      </c>
      <c r="N12" s="44"/>
      <c r="O12" s="44"/>
      <c r="P12" s="44"/>
      <c r="Q12" s="44"/>
      <c r="R12" s="44"/>
      <c r="S12" s="44"/>
      <c r="T12" s="44"/>
      <c r="U12" s="44"/>
      <c r="V12" s="44"/>
      <c r="W12" s="44"/>
      <c r="X12" s="44"/>
      <c r="Y12" s="44"/>
      <c r="Z12" s="44"/>
      <c r="AA12" s="44"/>
      <c r="AB12" s="44"/>
      <c r="AC12" s="44"/>
    </row>
    <row r="13" spans="1:29" ht="15.75" customHeight="1" x14ac:dyDescent="0.25">
      <c r="A13" s="39">
        <f>IF(ROW()-2&lt;=Inputs!$B$3+1,ROW()-2,"")</f>
        <v>11</v>
      </c>
      <c r="B13" s="39">
        <f>IF($A13="","",Inputs!$B$2+$A13-1)</f>
        <v>73</v>
      </c>
      <c r="C13" s="40">
        <f>IF($A13="","",IF($A13=1,Inputs!$B$9,I12))</f>
        <v>36185.982819708042</v>
      </c>
      <c r="D13" s="40">
        <f>IF($A13="","",Inputs!$B$4*12*(1+Inputs!$B$10/100)^($A13-1))</f>
        <v>4800</v>
      </c>
      <c r="E13" s="40">
        <f t="shared" si="0"/>
        <v>400</v>
      </c>
      <c r="F13" s="40">
        <f>IF($A13="","",C13*(Inputs!$B$5/100))</f>
        <v>2533.0187973795632</v>
      </c>
      <c r="G13" s="40">
        <f>IF($A13="","",IF(OR(Inputs!$B$8&lt;=0,Inputs!$B$8=""),0,IF(AND($A13&gt;=Inputs!$B$8,MOD($A13,Inputs!$B$8)=0),Inputs!$B$7*(1+Inputs!$B$6/100)^$A13,0)))</f>
        <v>0</v>
      </c>
      <c r="H13" s="40">
        <f t="shared" si="1"/>
        <v>0</v>
      </c>
      <c r="I13" s="40">
        <f t="shared" si="2"/>
        <v>43519.001617087604</v>
      </c>
      <c r="J13" s="51"/>
      <c r="K13" s="42">
        <f>IF($A13="","",IFERROR(I13/(Inputs!$B$7*(1+Inputs!$B$6/100)^$A13),"-"))</f>
        <v>1.5719526352260014</v>
      </c>
      <c r="L13" s="43">
        <f t="shared" si="3"/>
        <v>73</v>
      </c>
      <c r="M13" s="43">
        <f t="shared" si="4"/>
        <v>43519.001617087604</v>
      </c>
      <c r="N13" s="44"/>
      <c r="O13" s="44"/>
      <c r="P13" s="44"/>
      <c r="Q13" s="44"/>
      <c r="R13" s="44"/>
      <c r="S13" s="44"/>
      <c r="T13" s="44"/>
      <c r="U13" s="44"/>
      <c r="V13" s="44"/>
      <c r="W13" s="44"/>
      <c r="X13" s="44"/>
      <c r="Y13" s="44"/>
      <c r="Z13" s="44"/>
      <c r="AA13" s="44"/>
      <c r="AB13" s="44"/>
      <c r="AC13" s="44"/>
    </row>
    <row r="14" spans="1:29" ht="25.5" customHeight="1" x14ac:dyDescent="0.25">
      <c r="A14" s="45">
        <f>IF(ROW()-2&lt;=Inputs!$B$3+1,ROW()-2,"")</f>
        <v>12</v>
      </c>
      <c r="B14" s="45">
        <f>IF($A14="","",Inputs!$B$2+$A14-1)</f>
        <v>74</v>
      </c>
      <c r="C14" s="46">
        <f>IF($A14="","",IF($A14=1,Inputs!$B$9,I13))</f>
        <v>43519.001617087604</v>
      </c>
      <c r="D14" s="46">
        <f>IF($A14="","",Inputs!$B$4*12*(1+Inputs!$B$10/100)^($A14-1))</f>
        <v>4800</v>
      </c>
      <c r="E14" s="46">
        <f t="shared" si="0"/>
        <v>400</v>
      </c>
      <c r="F14" s="46">
        <f>IF($A14="","",C14*(Inputs!$B$5/100))</f>
        <v>3046.3301131961325</v>
      </c>
      <c r="G14" s="46">
        <f>IF($A14="","",IF(OR(Inputs!$B$8&lt;=0,Inputs!$B$8=""),0,IF(AND($A14&gt;=Inputs!$B$8,MOD($A14,Inputs!$B$8)=0),Inputs!$B$7*(1+Inputs!$B$6/100)^$A14,0)))</f>
        <v>0</v>
      </c>
      <c r="H14" s="46">
        <f t="shared" si="1"/>
        <v>0</v>
      </c>
      <c r="I14" s="46">
        <f t="shared" si="2"/>
        <v>51365.331730283739</v>
      </c>
      <c r="J14" s="56" t="s">
        <v>12</v>
      </c>
      <c r="K14" s="48">
        <f>IF($A14="","",IFERROR(I14/(Inputs!$B$7*(1+Inputs!$B$6/100)^$A14),"-"))</f>
        <v>1.8013305107529367</v>
      </c>
      <c r="L14" s="43">
        <f t="shared" si="3"/>
        <v>74</v>
      </c>
      <c r="M14" s="43">
        <f t="shared" si="4"/>
        <v>51365.331730283739</v>
      </c>
      <c r="N14" s="44"/>
      <c r="O14" s="44"/>
      <c r="P14" s="44"/>
      <c r="Q14" s="44"/>
      <c r="R14" s="44"/>
      <c r="S14" s="44"/>
      <c r="T14" s="44"/>
      <c r="U14" s="44"/>
      <c r="V14" s="44"/>
      <c r="W14" s="44"/>
      <c r="X14" s="44"/>
      <c r="Y14" s="44"/>
      <c r="Z14" s="44"/>
      <c r="AA14" s="44"/>
      <c r="AB14" s="44"/>
      <c r="AC14" s="44"/>
    </row>
    <row r="15" spans="1:29" ht="15.75" customHeight="1" x14ac:dyDescent="0.25">
      <c r="A15" s="39">
        <f>IF(ROW()-2&lt;=Inputs!$B$3+1,ROW()-2,"")</f>
        <v>13</v>
      </c>
      <c r="B15" s="39">
        <f>IF($A15="","",Inputs!$B$2+$A15-1)</f>
        <v>75</v>
      </c>
      <c r="C15" s="40">
        <f>IF($A15="","",IF($A15=1,Inputs!$B$9,I14))</f>
        <v>51365.331730283739</v>
      </c>
      <c r="D15" s="40">
        <f>IF($A15="","",Inputs!$B$4*12*(1+Inputs!$B$10/100)^($A15-1))</f>
        <v>4800</v>
      </c>
      <c r="E15" s="40">
        <f t="shared" si="0"/>
        <v>400</v>
      </c>
      <c r="F15" s="40">
        <f>IF($A15="","",C15*(Inputs!$B$5/100))</f>
        <v>3595.573221119862</v>
      </c>
      <c r="G15" s="40">
        <f>IF($A15="","",IF(OR(Inputs!$B$8&lt;=0,Inputs!$B$8=""),0,IF(AND($A15&gt;=Inputs!$B$8,MOD($A15,Inputs!$B$8)=0),Inputs!$B$7*(1+Inputs!$B$6/100)^$A15,0)))</f>
        <v>0</v>
      </c>
      <c r="H15" s="40">
        <f t="shared" si="1"/>
        <v>0</v>
      </c>
      <c r="I15" s="40">
        <f t="shared" si="2"/>
        <v>59760.904951403601</v>
      </c>
      <c r="J15" s="47">
        <f>INDEX($I$3:$I$102,Inputs!$B$3+1)</f>
        <v>198012.87797802337</v>
      </c>
      <c r="K15" s="42">
        <f>IF($A15="","",IFERROR(I15/(Inputs!$B$7*(1+Inputs!$B$6/100)^$A15),"-"))</f>
        <v>2.0347134152931612</v>
      </c>
      <c r="L15" s="43">
        <f t="shared" si="3"/>
        <v>75</v>
      </c>
      <c r="M15" s="43">
        <f t="shared" si="4"/>
        <v>59760.904951403601</v>
      </c>
      <c r="N15" s="44"/>
      <c r="O15" s="44"/>
      <c r="P15" s="44"/>
      <c r="Q15" s="44"/>
      <c r="R15" s="44"/>
      <c r="S15" s="44"/>
      <c r="T15" s="44"/>
      <c r="U15" s="44"/>
      <c r="V15" s="44"/>
      <c r="W15" s="44"/>
      <c r="X15" s="44"/>
      <c r="Y15" s="44"/>
      <c r="Z15" s="44"/>
      <c r="AA15" s="44"/>
      <c r="AB15" s="44"/>
      <c r="AC15" s="44"/>
    </row>
    <row r="16" spans="1:29" ht="15.75" customHeight="1" x14ac:dyDescent="0.25">
      <c r="A16" s="45">
        <f>IF(ROW()-2&lt;=Inputs!$B$3+1,ROW()-2,"")</f>
        <v>14</v>
      </c>
      <c r="B16" s="45">
        <f>IF($A16="","",Inputs!$B$2+$A16-1)</f>
        <v>76</v>
      </c>
      <c r="C16" s="46">
        <f>IF($A16="","",IF($A16=1,Inputs!$B$9,I15))</f>
        <v>59760.904951403601</v>
      </c>
      <c r="D16" s="46">
        <f>IF($A16="","",Inputs!$B$4*12*(1+Inputs!$B$10/100)^($A16-1))</f>
        <v>4800</v>
      </c>
      <c r="E16" s="46">
        <f t="shared" si="0"/>
        <v>400</v>
      </c>
      <c r="F16" s="46">
        <f>IF($A16="","",C16*(Inputs!$B$5/100))</f>
        <v>4183.2633465982526</v>
      </c>
      <c r="G16" s="46">
        <f>IF($A16="","",IF(OR(Inputs!$B$8&lt;=0,Inputs!$B$8=""),0,IF(AND($A16&gt;=Inputs!$B$8,MOD($A16,Inputs!$B$8)=0),Inputs!$B$7*(1+Inputs!$B$6/100)^$A16,0)))</f>
        <v>30251.794497102219</v>
      </c>
      <c r="H16" s="46">
        <f t="shared" si="1"/>
        <v>30251.794497102219</v>
      </c>
      <c r="I16" s="46">
        <f t="shared" si="2"/>
        <v>38492.37380089963</v>
      </c>
      <c r="J16" s="57"/>
      <c r="K16" s="48">
        <f>IF($A16="","",IFERROR(I16/(Inputs!$B$7*(1+Inputs!$B$6/100)^$A16),"-"))</f>
        <v>1.2723996854000434</v>
      </c>
      <c r="L16" s="43">
        <f t="shared" si="3"/>
        <v>76</v>
      </c>
      <c r="M16" s="43">
        <f t="shared" si="4"/>
        <v>38492.37380089963</v>
      </c>
      <c r="N16" s="44"/>
      <c r="O16" s="44"/>
      <c r="P16" s="44"/>
      <c r="Q16" s="44"/>
      <c r="R16" s="44"/>
      <c r="S16" s="44"/>
      <c r="T16" s="44"/>
      <c r="U16" s="44"/>
      <c r="V16" s="44"/>
      <c r="W16" s="44"/>
      <c r="X16" s="44"/>
      <c r="Y16" s="44"/>
      <c r="Z16" s="44"/>
      <c r="AA16" s="44"/>
      <c r="AB16" s="44"/>
      <c r="AC16" s="44"/>
    </row>
    <row r="17" spans="1:29" ht="15.75" customHeight="1" x14ac:dyDescent="0.25">
      <c r="A17" s="39">
        <f>IF(ROW()-2&lt;=Inputs!$B$3+1,ROW()-2,"")</f>
        <v>15</v>
      </c>
      <c r="B17" s="39">
        <f>IF($A17="","",Inputs!$B$2+$A17-1)</f>
        <v>77</v>
      </c>
      <c r="C17" s="40">
        <f>IF($A17="","",IF($A17=1,Inputs!$B$9,I16))</f>
        <v>38492.37380089963</v>
      </c>
      <c r="D17" s="40">
        <f>IF($A17="","",Inputs!$B$4*12*(1+Inputs!$B$10/100)^($A17-1))</f>
        <v>4800</v>
      </c>
      <c r="E17" s="40">
        <f t="shared" si="0"/>
        <v>400</v>
      </c>
      <c r="F17" s="40">
        <f>IF($A17="","",C17*(Inputs!$B$5/100))</f>
        <v>2694.4661660629745</v>
      </c>
      <c r="G17" s="40">
        <f>IF($A17="","",IF(OR(Inputs!$B$8&lt;=0,Inputs!$B$8=""),0,IF(AND($A17&gt;=Inputs!$B$8,MOD($A17,Inputs!$B$8)=0),Inputs!$B$7*(1+Inputs!$B$6/100)^$A17,0)))</f>
        <v>0</v>
      </c>
      <c r="H17" s="40">
        <f t="shared" si="1"/>
        <v>0</v>
      </c>
      <c r="I17" s="40">
        <f t="shared" si="2"/>
        <v>45986.839966962601</v>
      </c>
      <c r="J17" s="56" t="s">
        <v>35</v>
      </c>
      <c r="K17" s="42">
        <f>IF($A17="","",IFERROR(I17/(Inputs!$B$7*(1+Inputs!$B$6/100)^$A17),"-"))</f>
        <v>1.4758601327907912</v>
      </c>
      <c r="L17" s="43">
        <f t="shared" si="3"/>
        <v>77</v>
      </c>
      <c r="M17" s="43">
        <f t="shared" si="4"/>
        <v>45986.839966962601</v>
      </c>
      <c r="N17" s="44"/>
      <c r="O17" s="44"/>
      <c r="P17" s="44"/>
      <c r="Q17" s="44"/>
      <c r="R17" s="44"/>
      <c r="S17" s="44"/>
      <c r="T17" s="44"/>
      <c r="U17" s="44"/>
      <c r="V17" s="44"/>
      <c r="W17" s="44"/>
      <c r="X17" s="44"/>
      <c r="Y17" s="44"/>
      <c r="Z17" s="44"/>
      <c r="AA17" s="44"/>
      <c r="AB17" s="44"/>
      <c r="AC17" s="44"/>
    </row>
    <row r="18" spans="1:29" ht="15.75" customHeight="1" x14ac:dyDescent="0.25">
      <c r="A18" s="45">
        <f>IF(ROW()-2&lt;=Inputs!$B$3+1,ROW()-2,"")</f>
        <v>16</v>
      </c>
      <c r="B18" s="45">
        <f>IF($A18="","",Inputs!$B$2+$A18-1)</f>
        <v>78</v>
      </c>
      <c r="C18" s="46">
        <f>IF($A18="","",IF($A18=1,Inputs!$B$9,I17))</f>
        <v>45986.839966962601</v>
      </c>
      <c r="D18" s="46">
        <f>IF($A18="","",Inputs!$B$4*12*(1+Inputs!$B$10/100)^($A18-1))</f>
        <v>4800</v>
      </c>
      <c r="E18" s="46">
        <f t="shared" si="0"/>
        <v>400</v>
      </c>
      <c r="F18" s="46">
        <f>IF($A18="","",C18*(Inputs!$B$5/100))</f>
        <v>3219.0787976873826</v>
      </c>
      <c r="G18" s="46">
        <f>IF($A18="","",IF(OR(Inputs!$B$8&lt;=0,Inputs!$B$8=""),0,IF(AND($A18&gt;=Inputs!$B$8,MOD($A18,Inputs!$B$8)=0),Inputs!$B$7*(1+Inputs!$B$6/100)^$A18,0)))</f>
        <v>0</v>
      </c>
      <c r="H18" s="46">
        <f t="shared" si="1"/>
        <v>0</v>
      </c>
      <c r="I18" s="46">
        <f t="shared" si="2"/>
        <v>54005.918764649985</v>
      </c>
      <c r="J18" s="58">
        <f t="array" ref="J18">IFERROR(MATCH(1,($F$3:$F$102&gt;$D$3:$D$102)*1,0),"Not reached")</f>
        <v>19</v>
      </c>
      <c r="K18" s="48">
        <f>IF($A18="","",IFERROR(I18/(Inputs!$B$7*(1+Inputs!$B$6/100)^$A18),"-"))</f>
        <v>1.6827351548168537</v>
      </c>
      <c r="L18" s="43">
        <f t="shared" si="3"/>
        <v>78</v>
      </c>
      <c r="M18" s="43">
        <f t="shared" si="4"/>
        <v>54005.918764649985</v>
      </c>
      <c r="N18" s="44"/>
      <c r="O18" s="44"/>
      <c r="P18" s="44"/>
      <c r="Q18" s="44"/>
      <c r="R18" s="44"/>
      <c r="S18" s="44"/>
      <c r="T18" s="44"/>
      <c r="U18" s="44"/>
      <c r="V18" s="44"/>
      <c r="W18" s="44"/>
      <c r="X18" s="44"/>
      <c r="Y18" s="44"/>
      <c r="Z18" s="44"/>
      <c r="AA18" s="44"/>
      <c r="AB18" s="44"/>
      <c r="AC18" s="44"/>
    </row>
    <row r="19" spans="1:29" ht="15.75" customHeight="1" x14ac:dyDescent="0.25">
      <c r="A19" s="39">
        <f>IF(ROW()-2&lt;=Inputs!$B$3+1,ROW()-2,"")</f>
        <v>17</v>
      </c>
      <c r="B19" s="39">
        <f>IF($A19="","",Inputs!$B$2+$A19-1)</f>
        <v>79</v>
      </c>
      <c r="C19" s="40">
        <f>IF($A19="","",IF($A19=1,Inputs!$B$9,I18))</f>
        <v>54005.918764649985</v>
      </c>
      <c r="D19" s="40">
        <f>IF($A19="","",Inputs!$B$4*12*(1+Inputs!$B$10/100)^($A19-1))</f>
        <v>4800</v>
      </c>
      <c r="E19" s="40">
        <f t="shared" si="0"/>
        <v>400</v>
      </c>
      <c r="F19" s="40">
        <f>IF($A19="","",C19*(Inputs!$B$5/100))</f>
        <v>3780.4143135254994</v>
      </c>
      <c r="G19" s="40">
        <f>IF($A19="","",IF(OR(Inputs!$B$8&lt;=0,Inputs!$B$8=""),0,IF(AND($A19&gt;=Inputs!$B$8,MOD($A19,Inputs!$B$8)=0),Inputs!$B$7*(1+Inputs!$B$6/100)^$A19,0)))</f>
        <v>0</v>
      </c>
      <c r="H19" s="40">
        <f t="shared" si="1"/>
        <v>0</v>
      </c>
      <c r="I19" s="40">
        <f t="shared" si="2"/>
        <v>62586.333078175485</v>
      </c>
      <c r="J19" s="59">
        <f>IFERROR(Inputs!$B$2+J18-1,"Not reached")</f>
        <v>81</v>
      </c>
      <c r="K19" s="42">
        <f>IF($A19="","",IFERROR(I19/(Inputs!$B$7*(1+Inputs!$B$6/100)^$A19),"-"))</f>
        <v>1.8932880398707388</v>
      </c>
      <c r="L19" s="43">
        <f t="shared" si="3"/>
        <v>79</v>
      </c>
      <c r="M19" s="43">
        <f t="shared" si="4"/>
        <v>62586.333078175485</v>
      </c>
      <c r="N19" s="44"/>
      <c r="O19" s="44"/>
      <c r="P19" s="44"/>
      <c r="Q19" s="44"/>
      <c r="R19" s="44"/>
      <c r="S19" s="44"/>
      <c r="T19" s="44"/>
      <c r="U19" s="44"/>
      <c r="V19" s="44"/>
      <c r="W19" s="44"/>
      <c r="X19" s="44"/>
      <c r="Y19" s="44"/>
      <c r="Z19" s="44"/>
      <c r="AA19" s="44"/>
      <c r="AB19" s="44"/>
      <c r="AC19" s="44"/>
    </row>
    <row r="20" spans="1:29" ht="27" customHeight="1" x14ac:dyDescent="0.25">
      <c r="A20" s="45">
        <f>IF(ROW()-2&lt;=Inputs!$B$3+1,ROW()-2,"")</f>
        <v>18</v>
      </c>
      <c r="B20" s="45">
        <f>IF($A20="","",Inputs!$B$2+$A20-1)</f>
        <v>80</v>
      </c>
      <c r="C20" s="46">
        <f>IF($A20="","",IF($A20=1,Inputs!$B$9,I19))</f>
        <v>62586.333078175485</v>
      </c>
      <c r="D20" s="46">
        <f>IF($A20="","",Inputs!$B$4*12*(1+Inputs!$B$10/100)^($A20-1))</f>
        <v>4800</v>
      </c>
      <c r="E20" s="46">
        <f t="shared" si="0"/>
        <v>400</v>
      </c>
      <c r="F20" s="46">
        <f>IF($A20="","",C20*(Inputs!$B$5/100))</f>
        <v>4381.0433154722841</v>
      </c>
      <c r="G20" s="46">
        <f>IF($A20="","",IF(OR(Inputs!$B$8&lt;=0,Inputs!$B$8=""),0,IF(AND($A20&gt;=Inputs!$B$8,MOD($A20,Inputs!$B$8)=0),Inputs!$B$7*(1+Inputs!$B$6/100)^$A20,0)))</f>
        <v>0</v>
      </c>
      <c r="H20" s="46">
        <f t="shared" si="1"/>
        <v>0</v>
      </c>
      <c r="I20" s="46">
        <f t="shared" si="2"/>
        <v>71767.376393647777</v>
      </c>
      <c r="J20" s="41" t="s">
        <v>36</v>
      </c>
      <c r="K20" s="48">
        <f>IF($A20="","",IFERROR(I20/(Inputs!$B$7*(1+Inputs!$B$6/100)^$A20),"-"))</f>
        <v>2.1077884948198404</v>
      </c>
      <c r="L20" s="43">
        <f t="shared" si="3"/>
        <v>80</v>
      </c>
      <c r="M20" s="43">
        <f t="shared" si="4"/>
        <v>71767.376393647777</v>
      </c>
      <c r="N20" s="44"/>
      <c r="O20" s="44"/>
      <c r="P20" s="44"/>
      <c r="Q20" s="44"/>
      <c r="R20" s="44"/>
      <c r="S20" s="44"/>
      <c r="T20" s="44"/>
      <c r="U20" s="44"/>
      <c r="V20" s="44"/>
      <c r="W20" s="44"/>
      <c r="X20" s="44"/>
      <c r="Y20" s="44"/>
      <c r="Z20" s="44"/>
      <c r="AA20" s="44"/>
      <c r="AB20" s="44"/>
      <c r="AC20" s="44"/>
    </row>
    <row r="21" spans="1:29" ht="15.75" customHeight="1" x14ac:dyDescent="0.25">
      <c r="A21" s="39">
        <f>IF(ROW()-2&lt;=Inputs!$B$3+1,ROW()-2,"")</f>
        <v>19</v>
      </c>
      <c r="B21" s="39">
        <f>IF($A21="","",Inputs!$B$2+$A21-1)</f>
        <v>81</v>
      </c>
      <c r="C21" s="40">
        <f>IF($A21="","",IF($A21=1,Inputs!$B$9,I20))</f>
        <v>71767.376393647777</v>
      </c>
      <c r="D21" s="40">
        <f>IF($A21="","",Inputs!$B$4*12*(1+Inputs!$B$10/100)^($A21-1))</f>
        <v>4800</v>
      </c>
      <c r="E21" s="40">
        <f t="shared" si="0"/>
        <v>400</v>
      </c>
      <c r="F21" s="40">
        <f>IF($A21="","",C21*(Inputs!$B$5/100))</f>
        <v>5023.7163475553452</v>
      </c>
      <c r="G21" s="40">
        <f>IF($A21="","",IF(OR(Inputs!$B$8&lt;=0,Inputs!$B$8=""),0,IF(AND($A21&gt;=Inputs!$B$8,MOD($A21,Inputs!$B$8)=0),Inputs!$B$7*(1+Inputs!$B$6/100)^$A21,0)))</f>
        <v>0</v>
      </c>
      <c r="H21" s="40">
        <f t="shared" si="1"/>
        <v>0</v>
      </c>
      <c r="I21" s="40">
        <f t="shared" si="2"/>
        <v>81591.092741203116</v>
      </c>
      <c r="J21" s="60"/>
      <c r="K21" s="42">
        <f>IF($A21="","",IFERROR(I21/(Inputs!$B$7*(1+Inputs!$B$6/100)^$A21),"-"))</f>
        <v>2.3265130051312011</v>
      </c>
      <c r="L21" s="43">
        <f t="shared" si="3"/>
        <v>81</v>
      </c>
      <c r="M21" s="43">
        <f t="shared" si="4"/>
        <v>81591.092741203116</v>
      </c>
      <c r="N21" s="44"/>
      <c r="O21" s="44"/>
      <c r="P21" s="44"/>
      <c r="Q21" s="44"/>
      <c r="R21" s="44"/>
      <c r="S21" s="44"/>
      <c r="T21" s="44"/>
      <c r="U21" s="44"/>
      <c r="V21" s="44"/>
      <c r="W21" s="44"/>
      <c r="X21" s="44"/>
      <c r="Y21" s="44"/>
      <c r="Z21" s="44"/>
      <c r="AA21" s="44"/>
      <c r="AB21" s="44"/>
      <c r="AC21" s="44"/>
    </row>
    <row r="22" spans="1:29" ht="15.75" customHeight="1" x14ac:dyDescent="0.25">
      <c r="A22" s="45">
        <f>IF(ROW()-2&lt;=Inputs!$B$3+1,ROW()-2,"")</f>
        <v>20</v>
      </c>
      <c r="B22" s="45">
        <f>IF($A22="","",Inputs!$B$2+$A22-1)</f>
        <v>82</v>
      </c>
      <c r="C22" s="46">
        <f>IF($A22="","",IF($A22=1,Inputs!$B$9,I21))</f>
        <v>81591.092741203116</v>
      </c>
      <c r="D22" s="46">
        <f>IF($A22="","",Inputs!$B$4*12*(1+Inputs!$B$10/100)^($A22-1))</f>
        <v>4800</v>
      </c>
      <c r="E22" s="46">
        <f t="shared" si="0"/>
        <v>400</v>
      </c>
      <c r="F22" s="46">
        <f>IF($A22="","",C22*(Inputs!$B$5/100))</f>
        <v>5711.3764918842189</v>
      </c>
      <c r="G22" s="46">
        <f>IF($A22="","",IF(OR(Inputs!$B$8&lt;=0,Inputs!$B$8=""),0,IF(AND($A22&gt;=Inputs!$B$8,MOD($A22,Inputs!$B$8)=0),Inputs!$B$7*(1+Inputs!$B$6/100)^$A22,0)))</f>
        <v>0</v>
      </c>
      <c r="H22" s="46">
        <f t="shared" si="1"/>
        <v>0</v>
      </c>
      <c r="I22" s="46">
        <f t="shared" si="2"/>
        <v>92102.469233087337</v>
      </c>
      <c r="J22" s="61"/>
      <c r="K22" s="48">
        <f>IF($A22="","",IFERROR(I22/(Inputs!$B$7*(1+Inputs!$B$6/100)^$A22),"-"))</f>
        <v>2.5497452057526675</v>
      </c>
      <c r="L22" s="43">
        <f t="shared" si="3"/>
        <v>82</v>
      </c>
      <c r="M22" s="43">
        <f t="shared" si="4"/>
        <v>92102.469233087337</v>
      </c>
      <c r="N22" s="44"/>
      <c r="O22" s="44"/>
      <c r="P22" s="44"/>
      <c r="Q22" s="44"/>
      <c r="R22" s="44"/>
      <c r="S22" s="44"/>
      <c r="T22" s="44"/>
      <c r="U22" s="44"/>
      <c r="V22" s="44"/>
      <c r="W22" s="44"/>
      <c r="X22" s="44"/>
      <c r="Y22" s="44"/>
      <c r="Z22" s="44"/>
      <c r="AA22" s="44"/>
      <c r="AB22" s="44"/>
      <c r="AC22" s="44"/>
    </row>
    <row r="23" spans="1:29" ht="15.75" customHeight="1" x14ac:dyDescent="0.25">
      <c r="A23" s="39">
        <f>IF(ROW()-2&lt;=Inputs!$B$3+1,ROW()-2,"")</f>
        <v>21</v>
      </c>
      <c r="B23" s="39">
        <f>IF($A23="","",Inputs!$B$2+$A23-1)</f>
        <v>83</v>
      </c>
      <c r="C23" s="40">
        <f>IF($A23="","",IF($A23=1,Inputs!$B$9,I22))</f>
        <v>92102.469233087337</v>
      </c>
      <c r="D23" s="40">
        <f>IF($A23="","",Inputs!$B$4*12*(1+Inputs!$B$10/100)^($A23-1))</f>
        <v>4800</v>
      </c>
      <c r="E23" s="40">
        <f t="shared" si="0"/>
        <v>400</v>
      </c>
      <c r="F23" s="40">
        <f>IF($A23="","",C23*(Inputs!$B$5/100))</f>
        <v>6447.1728463161144</v>
      </c>
      <c r="G23" s="40">
        <f>IF($A23="","",IF(OR(Inputs!$B$8&lt;=0,Inputs!$B$8=""),0,IF(AND($A23&gt;=Inputs!$B$8,MOD($A23,Inputs!$B$8)=0),Inputs!$B$7*(1+Inputs!$B$6/100)^$A23,0)))</f>
        <v>37205.891434189907</v>
      </c>
      <c r="H23" s="40">
        <f t="shared" si="1"/>
        <v>37205.891434189907</v>
      </c>
      <c r="I23" s="40">
        <f t="shared" si="2"/>
        <v>66143.750645213542</v>
      </c>
      <c r="J23" s="60"/>
      <c r="K23" s="42">
        <f>IF($A23="","",IFERROR(I23/(Inputs!$B$7*(1+Inputs!$B$6/100)^$A23),"-"))</f>
        <v>1.7777762632622085</v>
      </c>
      <c r="L23" s="43">
        <f t="shared" si="3"/>
        <v>83</v>
      </c>
      <c r="M23" s="43">
        <f t="shared" si="4"/>
        <v>66143.750645213542</v>
      </c>
      <c r="N23" s="44"/>
      <c r="O23" s="44"/>
      <c r="P23" s="44"/>
      <c r="Q23" s="44"/>
      <c r="R23" s="44"/>
      <c r="S23" s="44"/>
      <c r="T23" s="44"/>
      <c r="U23" s="44"/>
      <c r="V23" s="44"/>
      <c r="W23" s="44"/>
      <c r="X23" s="44"/>
      <c r="Y23" s="44"/>
      <c r="Z23" s="44"/>
      <c r="AA23" s="44"/>
      <c r="AB23" s="44"/>
      <c r="AC23" s="44"/>
    </row>
    <row r="24" spans="1:29" ht="15.75" customHeight="1" x14ac:dyDescent="0.25">
      <c r="A24" s="45">
        <f>IF(ROW()-2&lt;=Inputs!$B$3+1,ROW()-2,"")</f>
        <v>22</v>
      </c>
      <c r="B24" s="45">
        <f>IF($A24="","",Inputs!$B$2+$A24-1)</f>
        <v>84</v>
      </c>
      <c r="C24" s="46">
        <f>IF($A24="","",IF($A24=1,Inputs!$B$9,I23))</f>
        <v>66143.750645213542</v>
      </c>
      <c r="D24" s="46">
        <f>IF($A24="","",Inputs!$B$4*12*(1+Inputs!$B$10/100)^($A24-1))</f>
        <v>4800</v>
      </c>
      <c r="E24" s="46">
        <f t="shared" si="0"/>
        <v>400</v>
      </c>
      <c r="F24" s="46">
        <f>IF($A24="","",C24*(Inputs!$B$5/100))</f>
        <v>4630.0625451649485</v>
      </c>
      <c r="G24" s="46">
        <f>IF($A24="","",IF(OR(Inputs!$B$8&lt;=0,Inputs!$B$8=""),0,IF(AND($A24&gt;=Inputs!$B$8,MOD($A24,Inputs!$B$8)=0),Inputs!$B$7*(1+Inputs!$B$6/100)^$A24,0)))</f>
        <v>0</v>
      </c>
      <c r="H24" s="46">
        <f t="shared" si="1"/>
        <v>0</v>
      </c>
      <c r="I24" s="46">
        <f t="shared" si="2"/>
        <v>75573.813190378496</v>
      </c>
      <c r="J24" s="61"/>
      <c r="K24" s="48">
        <f>IF($A24="","",IFERROR(I24/(Inputs!$B$7*(1+Inputs!$B$6/100)^$A24),"-"))</f>
        <v>1.9720703183579982</v>
      </c>
      <c r="L24" s="43">
        <f t="shared" si="3"/>
        <v>84</v>
      </c>
      <c r="M24" s="43">
        <f t="shared" si="4"/>
        <v>75573.813190378496</v>
      </c>
      <c r="N24" s="44"/>
      <c r="O24" s="44"/>
      <c r="P24" s="44"/>
      <c r="Q24" s="44"/>
      <c r="R24" s="44"/>
      <c r="S24" s="44"/>
      <c r="T24" s="44"/>
      <c r="U24" s="44"/>
      <c r="V24" s="44"/>
      <c r="W24" s="44"/>
      <c r="X24" s="44"/>
      <c r="Y24" s="44"/>
      <c r="Z24" s="44"/>
      <c r="AA24" s="44"/>
      <c r="AB24" s="44"/>
      <c r="AC24" s="44"/>
    </row>
    <row r="25" spans="1:29" ht="15.75" customHeight="1" x14ac:dyDescent="0.25">
      <c r="A25" s="39">
        <f>IF(ROW()-2&lt;=Inputs!$B$3+1,ROW()-2,"")</f>
        <v>23</v>
      </c>
      <c r="B25" s="39">
        <f>IF($A25="","",Inputs!$B$2+$A25-1)</f>
        <v>85</v>
      </c>
      <c r="C25" s="40">
        <f>IF($A25="","",IF($A25=1,Inputs!$B$9,I24))</f>
        <v>75573.813190378496</v>
      </c>
      <c r="D25" s="40">
        <f>IF($A25="","",Inputs!$B$4*12*(1+Inputs!$B$10/100)^($A25-1))</f>
        <v>4800</v>
      </c>
      <c r="E25" s="40">
        <f t="shared" si="0"/>
        <v>400</v>
      </c>
      <c r="F25" s="40">
        <f>IF($A25="","",C25*(Inputs!$B$5/100))</f>
        <v>5290.1669233264956</v>
      </c>
      <c r="G25" s="40">
        <f>IF($A25="","",IF(OR(Inputs!$B$8&lt;=0,Inputs!$B$8=""),0,IF(AND($A25&gt;=Inputs!$B$8,MOD($A25,Inputs!$B$8)=0),Inputs!$B$7*(1+Inputs!$B$6/100)^$A25,0)))</f>
        <v>0</v>
      </c>
      <c r="H25" s="40">
        <f t="shared" si="1"/>
        <v>0</v>
      </c>
      <c r="I25" s="40">
        <f t="shared" si="2"/>
        <v>85663.980113704994</v>
      </c>
      <c r="J25" s="60"/>
      <c r="K25" s="42">
        <f>IF($A25="","",IFERROR(I25/(Inputs!$B$7*(1+Inputs!$B$6/100)^$A25),"-"))</f>
        <v>2.1702615930629889</v>
      </c>
      <c r="L25" s="43">
        <f t="shared" si="3"/>
        <v>85</v>
      </c>
      <c r="M25" s="43">
        <f t="shared" si="4"/>
        <v>85663.980113704994</v>
      </c>
      <c r="N25" s="44"/>
      <c r="O25" s="44"/>
      <c r="P25" s="44"/>
      <c r="Q25" s="44"/>
      <c r="R25" s="44"/>
      <c r="S25" s="44"/>
      <c r="T25" s="44"/>
      <c r="U25" s="44"/>
      <c r="V25" s="44"/>
      <c r="W25" s="44"/>
      <c r="X25" s="44"/>
      <c r="Y25" s="44"/>
      <c r="Z25" s="44"/>
      <c r="AA25" s="44"/>
      <c r="AB25" s="44"/>
      <c r="AC25" s="44"/>
    </row>
    <row r="26" spans="1:29" ht="15.75" customHeight="1" x14ac:dyDescent="0.25">
      <c r="A26" s="45">
        <f>IF(ROW()-2&lt;=Inputs!$B$3+1,ROW()-2,"")</f>
        <v>24</v>
      </c>
      <c r="B26" s="45">
        <f>IF($A26="","",Inputs!$B$2+$A26-1)</f>
        <v>86</v>
      </c>
      <c r="C26" s="46">
        <f>IF($A26="","",IF($A26=1,Inputs!$B$9,I25))</f>
        <v>85663.980113704994</v>
      </c>
      <c r="D26" s="46">
        <f>IF($A26="","",Inputs!$B$4*12*(1+Inputs!$B$10/100)^($A26-1))</f>
        <v>4800</v>
      </c>
      <c r="E26" s="46">
        <f t="shared" si="0"/>
        <v>400</v>
      </c>
      <c r="F26" s="46">
        <f>IF($A26="","",C26*(Inputs!$B$5/100))</f>
        <v>5996.4786079593505</v>
      </c>
      <c r="G26" s="46">
        <f>IF($A26="","",IF(OR(Inputs!$B$8&lt;=0,Inputs!$B$8=""),0,IF(AND($A26&gt;=Inputs!$B$8,MOD($A26,Inputs!$B$8)=0),Inputs!$B$7*(1+Inputs!$B$6/100)^$A26,0)))</f>
        <v>0</v>
      </c>
      <c r="H26" s="46">
        <f t="shared" si="1"/>
        <v>0</v>
      </c>
      <c r="I26" s="46">
        <f t="shared" si="2"/>
        <v>96460.458721664341</v>
      </c>
      <c r="J26" s="61"/>
      <c r="K26" s="48">
        <f>IF($A26="","",IFERROR(I26/(Inputs!$B$7*(1+Inputs!$B$6/100)^$A26),"-"))</f>
        <v>2.3726076933985678</v>
      </c>
      <c r="L26" s="43">
        <f t="shared" si="3"/>
        <v>86</v>
      </c>
      <c r="M26" s="43">
        <f t="shared" si="4"/>
        <v>96460.458721664341</v>
      </c>
      <c r="N26" s="44"/>
      <c r="O26" s="44"/>
      <c r="P26" s="44"/>
      <c r="Q26" s="44"/>
      <c r="R26" s="44"/>
      <c r="S26" s="44"/>
      <c r="T26" s="44"/>
      <c r="U26" s="44"/>
      <c r="V26" s="44"/>
      <c r="W26" s="44"/>
      <c r="X26" s="44"/>
      <c r="Y26" s="44"/>
      <c r="Z26" s="44"/>
      <c r="AA26" s="44"/>
      <c r="AB26" s="44"/>
      <c r="AC26" s="44"/>
    </row>
    <row r="27" spans="1:29" ht="15.75" customHeight="1" x14ac:dyDescent="0.25">
      <c r="A27" s="39">
        <f>IF(ROW()-2&lt;=Inputs!$B$3+1,ROW()-2,"")</f>
        <v>25</v>
      </c>
      <c r="B27" s="39">
        <f>IF($A27="","",Inputs!$B$2+$A27-1)</f>
        <v>87</v>
      </c>
      <c r="C27" s="40">
        <f>IF($A27="","",IF($A27=1,Inputs!$B$9,I26))</f>
        <v>96460.458721664341</v>
      </c>
      <c r="D27" s="40">
        <f>IF($A27="","",Inputs!$B$4*12*(1+Inputs!$B$10/100)^($A27-1))</f>
        <v>4800</v>
      </c>
      <c r="E27" s="40">
        <f t="shared" si="0"/>
        <v>400</v>
      </c>
      <c r="F27" s="40">
        <f>IF($A27="","",C27*(Inputs!$B$5/100))</f>
        <v>6752.2321105165047</v>
      </c>
      <c r="G27" s="40">
        <f>IF($A27="","",IF(OR(Inputs!$B$8&lt;=0,Inputs!$B$8=""),0,IF(AND($A27&gt;=Inputs!$B$8,MOD($A27,Inputs!$B$8)=0),Inputs!$B$7*(1+Inputs!$B$6/100)^$A27,0)))</f>
        <v>0</v>
      </c>
      <c r="H27" s="40">
        <f t="shared" si="1"/>
        <v>0</v>
      </c>
      <c r="I27" s="40">
        <f t="shared" si="2"/>
        <v>108012.69083218084</v>
      </c>
      <c r="J27" s="60"/>
      <c r="K27" s="42">
        <f>IF($A27="","",IFERROR(I27/(Inputs!$B$7*(1+Inputs!$B$6/100)^$A27),"-"))</f>
        <v>2.5793731346193689</v>
      </c>
      <c r="L27" s="43">
        <f t="shared" si="3"/>
        <v>87</v>
      </c>
      <c r="M27" s="43">
        <f t="shared" si="4"/>
        <v>108012.69083218084</v>
      </c>
      <c r="N27" s="44"/>
      <c r="O27" s="44"/>
      <c r="P27" s="44"/>
      <c r="Q27" s="44"/>
      <c r="R27" s="44"/>
      <c r="S27" s="44"/>
      <c r="T27" s="44"/>
      <c r="U27" s="44"/>
      <c r="V27" s="44"/>
      <c r="W27" s="44"/>
      <c r="X27" s="44"/>
      <c r="Y27" s="44"/>
      <c r="Z27" s="44"/>
      <c r="AA27" s="44"/>
      <c r="AB27" s="44"/>
      <c r="AC27" s="44"/>
    </row>
    <row r="28" spans="1:29" ht="15.75" customHeight="1" x14ac:dyDescent="0.25">
      <c r="A28" s="45">
        <f>IF(ROW()-2&lt;=Inputs!$B$3+1,ROW()-2,"")</f>
        <v>26</v>
      </c>
      <c r="B28" s="45">
        <f>IF($A28="","",Inputs!$B$2+$A28-1)</f>
        <v>88</v>
      </c>
      <c r="C28" s="46">
        <f>IF($A28="","",IF($A28=1,Inputs!$B$9,I27))</f>
        <v>108012.69083218084</v>
      </c>
      <c r="D28" s="46">
        <f>IF($A28="","",Inputs!$B$4*12*(1+Inputs!$B$10/100)^($A28-1))</f>
        <v>4800</v>
      </c>
      <c r="E28" s="46">
        <f t="shared" si="0"/>
        <v>400</v>
      </c>
      <c r="F28" s="46">
        <f>IF($A28="","",C28*(Inputs!$B$5/100))</f>
        <v>7560.8883582526596</v>
      </c>
      <c r="G28" s="46">
        <f>IF($A28="","",IF(OR(Inputs!$B$8&lt;=0,Inputs!$B$8=""),0,IF(AND($A28&gt;=Inputs!$B$8,MOD($A28,Inputs!$B$8)=0),Inputs!$B$7*(1+Inputs!$B$6/100)^$A28,0)))</f>
        <v>0</v>
      </c>
      <c r="H28" s="46">
        <f t="shared" si="1"/>
        <v>0</v>
      </c>
      <c r="I28" s="46">
        <f t="shared" si="2"/>
        <v>120373.57919043351</v>
      </c>
      <c r="J28" s="61"/>
      <c r="K28" s="48">
        <f>IF($A28="","",IFERROR(I28/(Inputs!$B$7*(1+Inputs!$B$6/100)^$A28),"-"))</f>
        <v>2.7908296996752648</v>
      </c>
      <c r="L28" s="43">
        <f t="shared" si="3"/>
        <v>88</v>
      </c>
      <c r="M28" s="43">
        <f t="shared" si="4"/>
        <v>120373.57919043351</v>
      </c>
      <c r="N28" s="44"/>
      <c r="O28" s="44"/>
      <c r="P28" s="44"/>
      <c r="Q28" s="44"/>
      <c r="R28" s="44"/>
      <c r="S28" s="44"/>
      <c r="T28" s="44"/>
      <c r="U28" s="44"/>
      <c r="V28" s="44"/>
      <c r="W28" s="44"/>
      <c r="X28" s="44"/>
      <c r="Y28" s="44"/>
      <c r="Z28" s="44"/>
      <c r="AA28" s="44"/>
      <c r="AB28" s="44"/>
      <c r="AC28" s="44"/>
    </row>
    <row r="29" spans="1:29" ht="15.75" customHeight="1" x14ac:dyDescent="0.25">
      <c r="A29" s="39">
        <f>IF(ROW()-2&lt;=Inputs!$B$3+1,ROW()-2,"")</f>
        <v>27</v>
      </c>
      <c r="B29" s="39">
        <f>IF($A29="","",Inputs!$B$2+$A29-1)</f>
        <v>89</v>
      </c>
      <c r="C29" s="40">
        <f>IF($A29="","",IF($A29=1,Inputs!$B$9,I28))</f>
        <v>120373.57919043351</v>
      </c>
      <c r="D29" s="40">
        <f>IF($A29="","",Inputs!$B$4*12*(1+Inputs!$B$10/100)^($A29-1))</f>
        <v>4800</v>
      </c>
      <c r="E29" s="40">
        <f t="shared" si="0"/>
        <v>400</v>
      </c>
      <c r="F29" s="40">
        <f>IF($A29="","",C29*(Inputs!$B$5/100))</f>
        <v>8426.1505433303464</v>
      </c>
      <c r="G29" s="40">
        <f>IF($A29="","",IF(OR(Inputs!$B$8&lt;=0,Inputs!$B$8=""),0,IF(AND($A29&gt;=Inputs!$B$8,MOD($A29,Inputs!$B$8)=0),Inputs!$B$7*(1+Inputs!$B$6/100)^$A29,0)))</f>
        <v>0</v>
      </c>
      <c r="H29" s="40">
        <f t="shared" si="1"/>
        <v>0</v>
      </c>
      <c r="I29" s="40">
        <f t="shared" si="2"/>
        <v>133599.72973376384</v>
      </c>
      <c r="J29" s="60"/>
      <c r="K29" s="42">
        <f>IF($A29="","",IFERROR(I29/(Inputs!$B$7*(1+Inputs!$B$6/100)^$A29),"-"))</f>
        <v>3.0072568089687133</v>
      </c>
      <c r="L29" s="43">
        <f t="shared" si="3"/>
        <v>89</v>
      </c>
      <c r="M29" s="43">
        <f t="shared" si="4"/>
        <v>133599.72973376384</v>
      </c>
      <c r="N29" s="44"/>
      <c r="O29" s="44"/>
      <c r="P29" s="44"/>
      <c r="Q29" s="44"/>
      <c r="R29" s="44"/>
      <c r="S29" s="44"/>
      <c r="T29" s="44"/>
      <c r="U29" s="44"/>
      <c r="V29" s="44"/>
      <c r="W29" s="44"/>
      <c r="X29" s="44"/>
      <c r="Y29" s="44"/>
      <c r="Z29" s="44"/>
      <c r="AA29" s="44"/>
      <c r="AB29" s="44"/>
      <c r="AC29" s="44"/>
    </row>
    <row r="30" spans="1:29" ht="15.75" customHeight="1" x14ac:dyDescent="0.25">
      <c r="A30" s="45">
        <f>IF(ROW()-2&lt;=Inputs!$B$3+1,ROW()-2,"")</f>
        <v>28</v>
      </c>
      <c r="B30" s="45">
        <f>IF($A30="","",Inputs!$B$2+$A30-1)</f>
        <v>90</v>
      </c>
      <c r="C30" s="46">
        <f>IF($A30="","",IF($A30=1,Inputs!$B$9,I29))</f>
        <v>133599.72973376384</v>
      </c>
      <c r="D30" s="46">
        <f>IF($A30="","",Inputs!$B$4*12*(1+Inputs!$B$10/100)^($A30-1))</f>
        <v>4800</v>
      </c>
      <c r="E30" s="46">
        <f t="shared" si="0"/>
        <v>400</v>
      </c>
      <c r="F30" s="46">
        <f>IF($A30="","",C30*(Inputs!$B$5/100))</f>
        <v>9351.9810813634704</v>
      </c>
      <c r="G30" s="46">
        <f>IF($A30="","",IF(OR(Inputs!$B$8&lt;=0,Inputs!$B$8=""),0,IF(AND($A30&gt;=Inputs!$B$8,MOD($A30,Inputs!$B$8)=0),Inputs!$B$7*(1+Inputs!$B$6/100)^$A30,0)))</f>
        <v>45758.553514745203</v>
      </c>
      <c r="H30" s="46">
        <f t="shared" si="1"/>
        <v>45758.553514745203</v>
      </c>
      <c r="I30" s="46">
        <f t="shared" si="2"/>
        <v>101993.15730038212</v>
      </c>
      <c r="J30" s="61"/>
      <c r="K30" s="48">
        <f>IF($A30="","",IFERROR(I30/(Inputs!$B$7*(1+Inputs!$B$6/100)^$A30),"-"))</f>
        <v>2.2289419019225756</v>
      </c>
      <c r="L30" s="43">
        <f t="shared" si="3"/>
        <v>90</v>
      </c>
      <c r="M30" s="43">
        <f t="shared" si="4"/>
        <v>101993.15730038212</v>
      </c>
      <c r="N30" s="44"/>
      <c r="O30" s="44"/>
      <c r="P30" s="44"/>
      <c r="Q30" s="44"/>
      <c r="R30" s="44"/>
      <c r="S30" s="44"/>
      <c r="T30" s="44"/>
      <c r="U30" s="44"/>
      <c r="V30" s="44"/>
      <c r="W30" s="44"/>
      <c r="X30" s="44"/>
      <c r="Y30" s="44"/>
      <c r="Z30" s="44"/>
      <c r="AA30" s="44"/>
      <c r="AB30" s="44"/>
      <c r="AC30" s="44"/>
    </row>
    <row r="31" spans="1:29" ht="15.75" customHeight="1" x14ac:dyDescent="0.25">
      <c r="A31" s="39">
        <f>IF(ROW()-2&lt;=Inputs!$B$3+1,ROW()-2,"")</f>
        <v>29</v>
      </c>
      <c r="B31" s="39">
        <f>IF($A31="","",Inputs!$B$2+$A31-1)</f>
        <v>91</v>
      </c>
      <c r="C31" s="40">
        <f>IF($A31="","",IF($A31=1,Inputs!$B$9,I30))</f>
        <v>101993.15730038212</v>
      </c>
      <c r="D31" s="40">
        <f>IF($A31="","",Inputs!$B$4*12*(1+Inputs!$B$10/100)^($A31-1))</f>
        <v>4800</v>
      </c>
      <c r="E31" s="40">
        <f t="shared" si="0"/>
        <v>400</v>
      </c>
      <c r="F31" s="40">
        <f>IF($A31="","",C31*(Inputs!$B$5/100))</f>
        <v>7139.5210110267499</v>
      </c>
      <c r="G31" s="40">
        <f>IF($A31="","",IF(OR(Inputs!$B$8&lt;=0,Inputs!$B$8=""),0,IF(AND($A31&gt;=Inputs!$B$8,MOD($A31,Inputs!$B$8)=0),Inputs!$B$7*(1+Inputs!$B$6/100)^$A31,0)))</f>
        <v>0</v>
      </c>
      <c r="H31" s="40">
        <f t="shared" si="1"/>
        <v>0</v>
      </c>
      <c r="I31" s="40">
        <f t="shared" si="2"/>
        <v>113932.67831140888</v>
      </c>
      <c r="J31" s="60"/>
      <c r="K31" s="42">
        <f>IF($A31="","",IFERROR(I31/(Inputs!$B$7*(1+Inputs!$B$6/100)^$A31),"-"))</f>
        <v>2.417345879435008</v>
      </c>
      <c r="L31" s="43">
        <f t="shared" si="3"/>
        <v>91</v>
      </c>
      <c r="M31" s="43">
        <f t="shared" si="4"/>
        <v>113932.67831140888</v>
      </c>
      <c r="N31" s="44"/>
      <c r="O31" s="44"/>
      <c r="P31" s="44"/>
      <c r="Q31" s="44"/>
      <c r="R31" s="44"/>
      <c r="S31" s="44"/>
      <c r="T31" s="44"/>
      <c r="U31" s="44"/>
      <c r="V31" s="44"/>
      <c r="W31" s="44"/>
      <c r="X31" s="44"/>
      <c r="Y31" s="44"/>
      <c r="Z31" s="44"/>
      <c r="AA31" s="44"/>
      <c r="AB31" s="44"/>
      <c r="AC31" s="44"/>
    </row>
    <row r="32" spans="1:29" ht="15.75" customHeight="1" x14ac:dyDescent="0.25">
      <c r="A32" s="45">
        <f>IF(ROW()-2&lt;=Inputs!$B$3+1,ROW()-2,"")</f>
        <v>30</v>
      </c>
      <c r="B32" s="45">
        <f>IF($A32="","",Inputs!$B$2+$A32-1)</f>
        <v>92</v>
      </c>
      <c r="C32" s="46">
        <f>IF($A32="","",IF($A32=1,Inputs!$B$9,I31))</f>
        <v>113932.67831140888</v>
      </c>
      <c r="D32" s="46">
        <f>IF($A32="","",Inputs!$B$4*12*(1+Inputs!$B$10/100)^($A32-1))</f>
        <v>4800</v>
      </c>
      <c r="E32" s="46">
        <f t="shared" si="0"/>
        <v>400</v>
      </c>
      <c r="F32" s="46">
        <f>IF($A32="","",C32*(Inputs!$B$5/100))</f>
        <v>7975.2874817986221</v>
      </c>
      <c r="G32" s="46">
        <f>IF($A32="","",IF(OR(Inputs!$B$8&lt;=0,Inputs!$B$8=""),0,IF(AND($A32&gt;=Inputs!$B$8,MOD($A32,Inputs!$B$8)=0),Inputs!$B$7*(1+Inputs!$B$6/100)^$A32,0)))</f>
        <v>0</v>
      </c>
      <c r="H32" s="46">
        <f t="shared" si="1"/>
        <v>0</v>
      </c>
      <c r="I32" s="46">
        <f t="shared" si="2"/>
        <v>126707.96579320749</v>
      </c>
      <c r="J32" s="61"/>
      <c r="K32" s="48">
        <f>IF($A32="","",IFERROR(I32/(Inputs!$B$7*(1+Inputs!$B$6/100)^$A32),"-"))</f>
        <v>2.6101002115997964</v>
      </c>
      <c r="L32" s="43">
        <f t="shared" si="3"/>
        <v>92</v>
      </c>
      <c r="M32" s="43">
        <f t="shared" si="4"/>
        <v>126707.96579320749</v>
      </c>
      <c r="N32" s="44"/>
      <c r="O32" s="44"/>
      <c r="P32" s="44"/>
      <c r="Q32" s="44"/>
      <c r="R32" s="44"/>
      <c r="S32" s="44"/>
      <c r="T32" s="44"/>
      <c r="U32" s="44"/>
      <c r="V32" s="44"/>
      <c r="W32" s="44"/>
      <c r="X32" s="44"/>
      <c r="Y32" s="44"/>
      <c r="Z32" s="44"/>
      <c r="AA32" s="44"/>
      <c r="AB32" s="44"/>
      <c r="AC32" s="44"/>
    </row>
    <row r="33" spans="1:29" ht="15.75" customHeight="1" x14ac:dyDescent="0.25">
      <c r="A33" s="39">
        <f>IF(ROW()-2&lt;=Inputs!$B$3+1,ROW()-2,"")</f>
        <v>31</v>
      </c>
      <c r="B33" s="39">
        <f>IF($A33="","",Inputs!$B$2+$A33-1)</f>
        <v>93</v>
      </c>
      <c r="C33" s="40">
        <f>IF($A33="","",IF($A33=1,Inputs!$B$9,I32))</f>
        <v>126707.96579320749</v>
      </c>
      <c r="D33" s="40">
        <f>IF($A33="","",Inputs!$B$4*12*(1+Inputs!$B$10/100)^($A33-1))</f>
        <v>4800</v>
      </c>
      <c r="E33" s="40">
        <f t="shared" si="0"/>
        <v>400</v>
      </c>
      <c r="F33" s="40">
        <f>IF($A33="","",C33*(Inputs!$B$5/100))</f>
        <v>8869.5576055245256</v>
      </c>
      <c r="G33" s="40">
        <f>IF($A33="","",IF(OR(Inputs!$B$8&lt;=0,Inputs!$B$8=""),0,IF(AND($A33&gt;=Inputs!$B$8,MOD($A33,Inputs!$B$8)=0),Inputs!$B$7*(1+Inputs!$B$6/100)^$A33,0)))</f>
        <v>0</v>
      </c>
      <c r="H33" s="40">
        <f t="shared" si="1"/>
        <v>0</v>
      </c>
      <c r="I33" s="40">
        <f t="shared" si="2"/>
        <v>140377.52339873201</v>
      </c>
      <c r="J33" s="60"/>
      <c r="K33" s="42">
        <f>IF($A33="","",IFERROR(I33/(Inputs!$B$7*(1+Inputs!$B$6/100)^$A33),"-"))</f>
        <v>2.8074602414520387</v>
      </c>
      <c r="L33" s="43">
        <f t="shared" si="3"/>
        <v>93</v>
      </c>
      <c r="M33" s="43">
        <f t="shared" si="4"/>
        <v>140377.52339873201</v>
      </c>
      <c r="N33" s="44"/>
      <c r="O33" s="44"/>
      <c r="P33" s="44"/>
      <c r="Q33" s="44"/>
      <c r="R33" s="44"/>
      <c r="S33" s="44"/>
      <c r="T33" s="44"/>
      <c r="U33" s="44"/>
      <c r="V33" s="44"/>
      <c r="W33" s="44"/>
      <c r="X33" s="44"/>
      <c r="Y33" s="44"/>
      <c r="Z33" s="44"/>
      <c r="AA33" s="44"/>
      <c r="AB33" s="44"/>
      <c r="AC33" s="44"/>
    </row>
    <row r="34" spans="1:29" ht="15.75" customHeight="1" x14ac:dyDescent="0.25">
      <c r="A34" s="45">
        <f>IF(ROW()-2&lt;=Inputs!$B$3+1,ROW()-2,"")</f>
        <v>32</v>
      </c>
      <c r="B34" s="45">
        <f>IF($A34="","",Inputs!$B$2+$A34-1)</f>
        <v>94</v>
      </c>
      <c r="C34" s="46">
        <f>IF($A34="","",IF($A34=1,Inputs!$B$9,I33))</f>
        <v>140377.52339873201</v>
      </c>
      <c r="D34" s="46">
        <f>IF($A34="","",Inputs!$B$4*12*(1+Inputs!$B$10/100)^($A34-1))</f>
        <v>4800</v>
      </c>
      <c r="E34" s="46">
        <f t="shared" si="0"/>
        <v>400</v>
      </c>
      <c r="F34" s="46">
        <f>IF($A34="","",C34*(Inputs!$B$5/100))</f>
        <v>9826.4266379112414</v>
      </c>
      <c r="G34" s="46">
        <f>IF($A34="","",IF(OR(Inputs!$B$8&lt;=0,Inputs!$B$8=""),0,IF(AND($A34&gt;=Inputs!$B$8,MOD($A34,Inputs!$B$8)=0),Inputs!$B$7*(1+Inputs!$B$6/100)^$A34,0)))</f>
        <v>0</v>
      </c>
      <c r="H34" s="46">
        <f t="shared" si="1"/>
        <v>0</v>
      </c>
      <c r="I34" s="46">
        <f t="shared" si="2"/>
        <v>155003.95003664325</v>
      </c>
      <c r="J34" s="61"/>
      <c r="K34" s="48">
        <f>IF($A34="","",IFERROR(I34/(Inputs!$B$7*(1+Inputs!$B$6/100)^$A34),"-"))</f>
        <v>3.0096887118372231</v>
      </c>
      <c r="L34" s="43">
        <f t="shared" si="3"/>
        <v>94</v>
      </c>
      <c r="M34" s="43">
        <f t="shared" si="4"/>
        <v>155003.95003664325</v>
      </c>
      <c r="N34" s="44"/>
      <c r="O34" s="44"/>
      <c r="P34" s="44"/>
      <c r="Q34" s="44"/>
      <c r="R34" s="44"/>
      <c r="S34" s="44"/>
      <c r="T34" s="44"/>
      <c r="U34" s="44"/>
      <c r="V34" s="44"/>
      <c r="W34" s="44"/>
      <c r="X34" s="44"/>
      <c r="Y34" s="44"/>
      <c r="Z34" s="44"/>
      <c r="AA34" s="44"/>
      <c r="AB34" s="44"/>
      <c r="AC34" s="44"/>
    </row>
    <row r="35" spans="1:29" ht="15.75" customHeight="1" x14ac:dyDescent="0.25">
      <c r="A35" s="39">
        <f>IF(ROW()-2&lt;=Inputs!$B$3+1,ROW()-2,"")</f>
        <v>33</v>
      </c>
      <c r="B35" s="39">
        <f>IF($A35="","",Inputs!$B$2+$A35-1)</f>
        <v>95</v>
      </c>
      <c r="C35" s="40">
        <f>IF($A35="","",IF($A35=1,Inputs!$B$9,I34))</f>
        <v>155003.95003664325</v>
      </c>
      <c r="D35" s="40">
        <f>IF($A35="","",Inputs!$B$4*12*(1+Inputs!$B$10/100)^($A35-1))</f>
        <v>4800</v>
      </c>
      <c r="E35" s="40">
        <f t="shared" ref="E35:E66" si="5">IF($A35="","",D35/12)</f>
        <v>400</v>
      </c>
      <c r="F35" s="40">
        <f>IF($A35="","",C35*(Inputs!$B$5/100))</f>
        <v>10850.276502565028</v>
      </c>
      <c r="G35" s="40">
        <f>IF($A35="","",IF(OR(Inputs!$B$8&lt;=0,Inputs!$B$8=""),0,IF(AND($A35&gt;=Inputs!$B$8,MOD($A35,Inputs!$B$8)=0),Inputs!$B$7*(1+Inputs!$B$6/100)^$A35,0)))</f>
        <v>0</v>
      </c>
      <c r="H35" s="40">
        <f t="shared" ref="H35:H66" si="6">IF($A35="","",G35)</f>
        <v>0</v>
      </c>
      <c r="I35" s="40">
        <f t="shared" ref="I35:I66" si="7">IF($A35="","",C35+D35+F35-H35)</f>
        <v>170654.22653920826</v>
      </c>
      <c r="J35" s="60"/>
      <c r="K35" s="42">
        <f>IF($A35="","",IFERROR(I35/(Inputs!$B$7*(1+Inputs!$B$6/100)^$A35),"-"))</f>
        <v>3.2170561260764075</v>
      </c>
      <c r="L35" s="43">
        <f t="shared" ref="L35:L66" si="8">IFERROR(IF($A35="",NA(),IFERROR(VALUE(B35),NA())),NA())</f>
        <v>95</v>
      </c>
      <c r="M35" s="43">
        <f t="shared" ref="M35:M66" si="9">IF($A35="",NA(),I35)</f>
        <v>170654.22653920826</v>
      </c>
      <c r="N35" s="44"/>
      <c r="O35" s="44"/>
      <c r="P35" s="44"/>
      <c r="Q35" s="44"/>
      <c r="R35" s="44"/>
      <c r="S35" s="44"/>
      <c r="T35" s="44"/>
      <c r="U35" s="44"/>
      <c r="V35" s="44"/>
      <c r="W35" s="44"/>
      <c r="X35" s="44"/>
      <c r="Y35" s="44"/>
      <c r="Z35" s="44"/>
      <c r="AA35" s="44"/>
      <c r="AB35" s="44"/>
      <c r="AC35" s="44"/>
    </row>
    <row r="36" spans="1:29" ht="15.75" customHeight="1" x14ac:dyDescent="0.25">
      <c r="A36" s="45">
        <f>IF(ROW()-2&lt;=Inputs!$B$3+1,ROW()-2,"")</f>
        <v>34</v>
      </c>
      <c r="B36" s="45">
        <f>IF($A36="","",Inputs!$B$2+$A36-1)</f>
        <v>96</v>
      </c>
      <c r="C36" s="46">
        <f>IF($A36="","",IF($A36=1,Inputs!$B$9,I35))</f>
        <v>170654.22653920826</v>
      </c>
      <c r="D36" s="46">
        <f>IF($A36="","",Inputs!$B$4*12*(1+Inputs!$B$10/100)^($A36-1))</f>
        <v>4800</v>
      </c>
      <c r="E36" s="46">
        <f t="shared" si="5"/>
        <v>400</v>
      </c>
      <c r="F36" s="46">
        <f>IF($A36="","",C36*(Inputs!$B$5/100))</f>
        <v>11945.795857744579</v>
      </c>
      <c r="G36" s="46">
        <f>IF($A36="","",IF(OR(Inputs!$B$8&lt;=0,Inputs!$B$8=""),0,IF(AND($A36&gt;=Inputs!$B$8,MOD($A36,Inputs!$B$8)=0),Inputs!$B$7*(1+Inputs!$B$6/100)^$A36,0)))</f>
        <v>0</v>
      </c>
      <c r="H36" s="46">
        <f t="shared" si="6"/>
        <v>0</v>
      </c>
      <c r="I36" s="46">
        <f t="shared" si="7"/>
        <v>187400.02239695285</v>
      </c>
      <c r="J36" s="61"/>
      <c r="K36" s="48">
        <f>IF($A36="","",IFERROR(I36/(Inputs!$B$7*(1+Inputs!$B$6/100)^$A36),"-"))</f>
        <v>3.4298411205030455</v>
      </c>
      <c r="L36" s="43">
        <f t="shared" si="8"/>
        <v>96</v>
      </c>
      <c r="M36" s="43">
        <f t="shared" si="9"/>
        <v>187400.02239695285</v>
      </c>
      <c r="N36" s="44"/>
      <c r="O36" s="44"/>
      <c r="P36" s="44"/>
      <c r="Q36" s="44"/>
      <c r="R36" s="44"/>
      <c r="S36" s="44"/>
      <c r="T36" s="44"/>
      <c r="U36" s="44"/>
      <c r="V36" s="44"/>
      <c r="W36" s="44"/>
      <c r="X36" s="44"/>
      <c r="Y36" s="44"/>
      <c r="Z36" s="44"/>
      <c r="AA36" s="44"/>
      <c r="AB36" s="44"/>
      <c r="AC36" s="44"/>
    </row>
    <row r="37" spans="1:29" ht="15.75" customHeight="1" x14ac:dyDescent="0.25">
      <c r="A37" s="39">
        <f>IF(ROW()-2&lt;=Inputs!$B$3+1,ROW()-2,"")</f>
        <v>35</v>
      </c>
      <c r="B37" s="39">
        <f>IF($A37="","",Inputs!$B$2+$A37-1)</f>
        <v>97</v>
      </c>
      <c r="C37" s="40">
        <f>IF($A37="","",IF($A37=1,Inputs!$B$9,I36))</f>
        <v>187400.02239695285</v>
      </c>
      <c r="D37" s="40">
        <f>IF($A37="","",Inputs!$B$4*12*(1+Inputs!$B$10/100)^($A37-1))</f>
        <v>4800</v>
      </c>
      <c r="E37" s="40">
        <f t="shared" si="5"/>
        <v>400</v>
      </c>
      <c r="F37" s="40">
        <f>IF($A37="","",C37*(Inputs!$B$5/100))</f>
        <v>13118.0015677867</v>
      </c>
      <c r="G37" s="40">
        <f>IF($A37="","",IF(OR(Inputs!$B$8&lt;=0,Inputs!$B$8=""),0,IF(AND($A37&gt;=Inputs!$B$8,MOD($A37,Inputs!$B$8)=0),Inputs!$B$7*(1+Inputs!$B$6/100)^$A37,0)))</f>
        <v>56277.249087430449</v>
      </c>
      <c r="H37" s="40">
        <f t="shared" si="6"/>
        <v>56277.249087430449</v>
      </c>
      <c r="I37" s="40">
        <f t="shared" si="7"/>
        <v>149040.7748773091</v>
      </c>
      <c r="J37" s="60"/>
      <c r="K37" s="42">
        <f>IF($A37="","",IFERROR(I37/(Inputs!$B$7*(1+Inputs!$B$6/100)^$A37),"-"))</f>
        <v>2.6483308493946525</v>
      </c>
      <c r="L37" s="43">
        <f t="shared" si="8"/>
        <v>97</v>
      </c>
      <c r="M37" s="43">
        <f t="shared" si="9"/>
        <v>149040.7748773091</v>
      </c>
      <c r="N37" s="44"/>
      <c r="O37" s="44"/>
      <c r="P37" s="44"/>
      <c r="Q37" s="44"/>
      <c r="R37" s="44"/>
      <c r="S37" s="44"/>
      <c r="T37" s="44"/>
      <c r="U37" s="44"/>
      <c r="V37" s="44"/>
      <c r="W37" s="44"/>
      <c r="X37" s="44"/>
      <c r="Y37" s="44"/>
      <c r="Z37" s="44"/>
      <c r="AA37" s="44"/>
      <c r="AB37" s="44"/>
      <c r="AC37" s="44"/>
    </row>
    <row r="38" spans="1:29" ht="15.75" customHeight="1" x14ac:dyDescent="0.25">
      <c r="A38" s="45">
        <f>IF(ROW()-2&lt;=Inputs!$B$3+1,ROW()-2,"")</f>
        <v>36</v>
      </c>
      <c r="B38" s="45">
        <f>IF($A38="","",Inputs!$B$2+$A38-1)</f>
        <v>98</v>
      </c>
      <c r="C38" s="46">
        <f>IF($A38="","",IF($A38=1,Inputs!$B$9,I37))</f>
        <v>149040.7748773091</v>
      </c>
      <c r="D38" s="46">
        <f>IF($A38="","",Inputs!$B$4*12*(1+Inputs!$B$10/100)^($A38-1))</f>
        <v>4800</v>
      </c>
      <c r="E38" s="46">
        <f t="shared" si="5"/>
        <v>400</v>
      </c>
      <c r="F38" s="46">
        <f>IF($A38="","",C38*(Inputs!$B$5/100))</f>
        <v>10432.854241411638</v>
      </c>
      <c r="G38" s="46">
        <f>IF($A38="","",IF(OR(Inputs!$B$8&lt;=0,Inputs!$B$8=""),0,IF(AND($A38&gt;=Inputs!$B$8,MOD($A38,Inputs!$B$8)=0),Inputs!$B$7*(1+Inputs!$B$6/100)^$A38,0)))</f>
        <v>0</v>
      </c>
      <c r="H38" s="46">
        <f t="shared" si="6"/>
        <v>0</v>
      </c>
      <c r="I38" s="46">
        <f t="shared" si="7"/>
        <v>164273.62911872074</v>
      </c>
      <c r="J38" s="62"/>
      <c r="K38" s="48">
        <f>IF($A38="","",IFERROR(I38/(Inputs!$B$7*(1+Inputs!$B$6/100)^$A38),"-"))</f>
        <v>2.8339864313847487</v>
      </c>
      <c r="L38" s="49">
        <f t="shared" si="8"/>
        <v>98</v>
      </c>
      <c r="M38" s="43">
        <f t="shared" si="9"/>
        <v>164273.62911872074</v>
      </c>
      <c r="N38" s="44"/>
      <c r="O38" s="44"/>
      <c r="P38" s="44"/>
      <c r="Q38" s="44"/>
      <c r="R38" s="44"/>
      <c r="S38" s="44"/>
      <c r="T38" s="44"/>
      <c r="U38" s="44"/>
      <c r="V38" s="44"/>
      <c r="W38" s="44"/>
      <c r="X38" s="44"/>
      <c r="Y38" s="44"/>
      <c r="Z38" s="44"/>
      <c r="AA38" s="44"/>
      <c r="AB38" s="44"/>
      <c r="AC38" s="44"/>
    </row>
    <row r="39" spans="1:29" ht="15.75" customHeight="1" x14ac:dyDescent="0.25">
      <c r="A39" s="39">
        <f>IF(ROW()-2&lt;=Inputs!$B$3+1,ROW()-2,"")</f>
        <v>37</v>
      </c>
      <c r="B39" s="39">
        <f>IF($A39="","",Inputs!$B$2+$A39-1)</f>
        <v>99</v>
      </c>
      <c r="C39" s="40">
        <f>IF($A39="","",IF($A39=1,Inputs!$B$9,I38))</f>
        <v>164273.62911872074</v>
      </c>
      <c r="D39" s="40">
        <f>IF($A39="","",Inputs!$B$4*12*(1+Inputs!$B$10/100)^($A39-1))</f>
        <v>4800</v>
      </c>
      <c r="E39" s="40">
        <f t="shared" si="5"/>
        <v>400</v>
      </c>
      <c r="F39" s="40">
        <f>IF($A39="","",C39*(Inputs!$B$5/100))</f>
        <v>11499.154038310453</v>
      </c>
      <c r="G39" s="40">
        <f>IF($A39="","",IF(OR(Inputs!$B$8&lt;=0,Inputs!$B$8=""),0,IF(AND($A39&gt;=Inputs!$B$8,MOD($A39,Inputs!$B$8)=0),Inputs!$B$7*(1+Inputs!$B$6/100)^$A39,0)))</f>
        <v>0</v>
      </c>
      <c r="H39" s="40">
        <f t="shared" si="6"/>
        <v>0</v>
      </c>
      <c r="I39" s="40">
        <f t="shared" si="7"/>
        <v>180572.7831570312</v>
      </c>
      <c r="J39" s="63"/>
      <c r="K39" s="42">
        <f>IF($A39="","",IFERROR(I39/(Inputs!$B$7*(1+Inputs!$B$6/100)^$A39),"-"))</f>
        <v>3.0244400617429963</v>
      </c>
      <c r="L39" s="49">
        <f t="shared" si="8"/>
        <v>99</v>
      </c>
      <c r="M39" s="43">
        <f t="shared" si="9"/>
        <v>180572.7831570312</v>
      </c>
      <c r="N39" s="44"/>
      <c r="O39" s="44"/>
      <c r="P39" s="44"/>
      <c r="Q39" s="44"/>
      <c r="R39" s="44"/>
      <c r="S39" s="44"/>
      <c r="T39" s="44"/>
      <c r="U39" s="44"/>
      <c r="V39" s="44"/>
      <c r="W39" s="44"/>
      <c r="X39" s="44"/>
      <c r="Y39" s="44"/>
      <c r="Z39" s="44"/>
      <c r="AA39" s="44"/>
      <c r="AB39" s="44"/>
      <c r="AC39" s="44"/>
    </row>
    <row r="40" spans="1:29" ht="15.75" customHeight="1" x14ac:dyDescent="0.25">
      <c r="A40" s="45">
        <f>IF(ROW()-2&lt;=Inputs!$B$3+1,ROW()-2,"")</f>
        <v>38</v>
      </c>
      <c r="B40" s="45">
        <f>IF($A40="","",Inputs!$B$2+$A40-1)</f>
        <v>100</v>
      </c>
      <c r="C40" s="46">
        <f>IF($A40="","",IF($A40=1,Inputs!$B$9,I39))</f>
        <v>180572.7831570312</v>
      </c>
      <c r="D40" s="46">
        <f>IF($A40="","",Inputs!$B$4*12*(1+Inputs!$B$10/100)^($A40-1))</f>
        <v>4800</v>
      </c>
      <c r="E40" s="46">
        <f t="shared" si="5"/>
        <v>400</v>
      </c>
      <c r="F40" s="46">
        <f>IF($A40="","",C40*(Inputs!$B$5/100))</f>
        <v>12640.094820992184</v>
      </c>
      <c r="G40" s="46">
        <f>IF($A40="","",IF(OR(Inputs!$B$8&lt;=0,Inputs!$B$8=""),0,IF(AND($A40&gt;=Inputs!$B$8,MOD($A40,Inputs!$B$8)=0),Inputs!$B$7*(1+Inputs!$B$6/100)^$A40,0)))</f>
        <v>0</v>
      </c>
      <c r="H40" s="46">
        <f t="shared" si="6"/>
        <v>0</v>
      </c>
      <c r="I40" s="46">
        <f t="shared" si="7"/>
        <v>198012.87797802337</v>
      </c>
      <c r="J40" s="62"/>
      <c r="K40" s="48">
        <f>IF($A40="","",IFERROR(I40/(Inputs!$B$7*(1+Inputs!$B$6/100)^$A40),"-"))</f>
        <v>3.2199483212937703</v>
      </c>
      <c r="L40" s="49">
        <f t="shared" si="8"/>
        <v>100</v>
      </c>
      <c r="M40" s="43">
        <f t="shared" si="9"/>
        <v>198012.87797802337</v>
      </c>
      <c r="N40" s="44"/>
      <c r="O40" s="44"/>
      <c r="P40" s="44"/>
      <c r="Q40" s="44"/>
      <c r="R40" s="44"/>
      <c r="S40" s="44"/>
      <c r="T40" s="44"/>
      <c r="U40" s="44"/>
      <c r="V40" s="44"/>
      <c r="W40" s="44"/>
      <c r="X40" s="44"/>
      <c r="Y40" s="44"/>
      <c r="Z40" s="44"/>
      <c r="AA40" s="44"/>
      <c r="AB40" s="44"/>
      <c r="AC40" s="44"/>
    </row>
    <row r="41" spans="1:29" ht="15.75" customHeight="1" x14ac:dyDescent="0.25">
      <c r="A41" s="39" t="str">
        <f>IF(ROW()-2&lt;=Inputs!$B$3+1,ROW()-2,"")</f>
        <v/>
      </c>
      <c r="B41" s="39" t="str">
        <f>IF($A41="","",Inputs!$B$2+$A41-1)</f>
        <v/>
      </c>
      <c r="C41" s="40" t="str">
        <f>IF($A41="","",IF($A41=1,Inputs!$B$9,I40))</f>
        <v/>
      </c>
      <c r="D41" s="40" t="str">
        <f>IF($A41="","",Inputs!$B$4*12*(1+Inputs!$B$10/100)^($A41-1))</f>
        <v/>
      </c>
      <c r="E41" s="40" t="str">
        <f t="shared" si="5"/>
        <v/>
      </c>
      <c r="F41" s="40" t="str">
        <f>IF($A41="","",C41*(Inputs!$B$5/100))</f>
        <v/>
      </c>
      <c r="G41" s="40" t="str">
        <f>IF($A41="","",IF(OR(Inputs!$B$8&lt;=0,Inputs!$B$8=""),0,IF(AND($A41&gt;=Inputs!$B$8,MOD($A41,Inputs!$B$8)=0),Inputs!$B$7*(1+Inputs!$B$6/100)^$A41,0)))</f>
        <v/>
      </c>
      <c r="H41" s="40" t="str">
        <f t="shared" si="6"/>
        <v/>
      </c>
      <c r="I41" s="40" t="str">
        <f t="shared" si="7"/>
        <v/>
      </c>
      <c r="J41" s="63"/>
      <c r="K41" s="42" t="str">
        <f>IF($A41="","",IFERROR(I41/(Inputs!$B$7*(1+Inputs!$B$6/100)^$A41),"-"))</f>
        <v/>
      </c>
      <c r="L41" s="49" t="e">
        <f t="shared" si="8"/>
        <v>#N/A</v>
      </c>
      <c r="M41" s="43" t="e">
        <f t="shared" si="9"/>
        <v>#N/A</v>
      </c>
      <c r="N41" s="44"/>
      <c r="O41" s="44"/>
      <c r="P41" s="44"/>
      <c r="Q41" s="44"/>
      <c r="R41" s="44"/>
      <c r="S41" s="44"/>
      <c r="T41" s="44"/>
      <c r="U41" s="44"/>
      <c r="V41" s="44"/>
      <c r="W41" s="44"/>
      <c r="X41" s="44"/>
      <c r="Y41" s="44"/>
      <c r="Z41" s="44"/>
      <c r="AA41" s="44"/>
      <c r="AB41" s="44"/>
      <c r="AC41" s="44"/>
    </row>
    <row r="42" spans="1:29" ht="15.75" customHeight="1" x14ac:dyDescent="0.25">
      <c r="A42" s="45" t="str">
        <f>IF(ROW()-2&lt;=Inputs!$B$3+1,ROW()-2,"")</f>
        <v/>
      </c>
      <c r="B42" s="45" t="str">
        <f>IF($A42="","",Inputs!$B$2+$A42-1)</f>
        <v/>
      </c>
      <c r="C42" s="46" t="str">
        <f>IF($A42="","",IF($A42=1,Inputs!$B$9,I41))</f>
        <v/>
      </c>
      <c r="D42" s="46" t="str">
        <f>IF($A42="","",Inputs!$B$4*12*(1+Inputs!$B$10/100)^($A42-1))</f>
        <v/>
      </c>
      <c r="E42" s="46" t="str">
        <f t="shared" si="5"/>
        <v/>
      </c>
      <c r="F42" s="46" t="str">
        <f>IF($A42="","",C42*(Inputs!$B$5/100))</f>
        <v/>
      </c>
      <c r="G42" s="46" t="str">
        <f>IF($A42="","",IF(OR(Inputs!$B$8&lt;=0,Inputs!$B$8=""),0,IF(AND($A42&gt;=Inputs!$B$8,MOD($A42,Inputs!$B$8)=0),Inputs!$B$7*(1+Inputs!$B$6/100)^$A42,0)))</f>
        <v/>
      </c>
      <c r="H42" s="46" t="str">
        <f t="shared" si="6"/>
        <v/>
      </c>
      <c r="I42" s="46" t="str">
        <f t="shared" si="7"/>
        <v/>
      </c>
      <c r="J42" s="62"/>
      <c r="K42" s="48" t="str">
        <f>IF($A42="","",IFERROR(I42/(Inputs!$B$7*(1+Inputs!$B$6/100)^$A42),"-"))</f>
        <v/>
      </c>
      <c r="L42" s="49" t="e">
        <f t="shared" si="8"/>
        <v>#N/A</v>
      </c>
      <c r="M42" s="43" t="e">
        <f t="shared" si="9"/>
        <v>#N/A</v>
      </c>
      <c r="N42" s="44"/>
      <c r="O42" s="44"/>
      <c r="P42" s="44"/>
      <c r="Q42" s="44"/>
      <c r="R42" s="44"/>
      <c r="S42" s="44"/>
      <c r="T42" s="44"/>
      <c r="U42" s="44"/>
      <c r="V42" s="44"/>
      <c r="W42" s="44"/>
      <c r="X42" s="44"/>
      <c r="Y42" s="44"/>
      <c r="Z42" s="44"/>
      <c r="AA42" s="44"/>
      <c r="AB42" s="44"/>
      <c r="AC42" s="44"/>
    </row>
    <row r="43" spans="1:29" ht="15.75" customHeight="1" x14ac:dyDescent="0.25">
      <c r="A43" s="39" t="str">
        <f>IF(ROW()-2&lt;=Inputs!$B$3+1,ROW()-2,"")</f>
        <v/>
      </c>
      <c r="B43" s="39" t="str">
        <f>IF($A43="","",Inputs!$B$2+$A43-1)</f>
        <v/>
      </c>
      <c r="C43" s="40" t="str">
        <f>IF($A43="","",IF($A43=1,Inputs!$B$9,I42))</f>
        <v/>
      </c>
      <c r="D43" s="40" t="str">
        <f>IF($A43="","",Inputs!$B$4*12*(1+Inputs!$B$10/100)^($A43-1))</f>
        <v/>
      </c>
      <c r="E43" s="40" t="str">
        <f t="shared" si="5"/>
        <v/>
      </c>
      <c r="F43" s="40" t="str">
        <f>IF($A43="","",C43*(Inputs!$B$5/100))</f>
        <v/>
      </c>
      <c r="G43" s="40" t="str">
        <f>IF($A43="","",IF(OR(Inputs!$B$8&lt;=0,Inputs!$B$8=""),0,IF(AND($A43&gt;=Inputs!$B$8,MOD($A43,Inputs!$B$8)=0),Inputs!$B$7*(1+Inputs!$B$6/100)^$A43,0)))</f>
        <v/>
      </c>
      <c r="H43" s="40" t="str">
        <f t="shared" si="6"/>
        <v/>
      </c>
      <c r="I43" s="40" t="str">
        <f t="shared" si="7"/>
        <v/>
      </c>
      <c r="J43" s="63"/>
      <c r="K43" s="42" t="str">
        <f>IF($A43="","",IFERROR(I43/(Inputs!$B$7*(1+Inputs!$B$6/100)^$A43),"-"))</f>
        <v/>
      </c>
      <c r="L43" s="49" t="e">
        <f t="shared" si="8"/>
        <v>#N/A</v>
      </c>
      <c r="M43" s="43" t="e">
        <f t="shared" si="9"/>
        <v>#N/A</v>
      </c>
      <c r="N43" s="44"/>
      <c r="O43" s="44"/>
      <c r="P43" s="44"/>
      <c r="Q43" s="44"/>
      <c r="R43" s="44"/>
      <c r="S43" s="44"/>
      <c r="T43" s="44"/>
      <c r="U43" s="44"/>
      <c r="V43" s="44"/>
      <c r="W43" s="44"/>
      <c r="X43" s="44"/>
      <c r="Y43" s="44"/>
      <c r="Z43" s="44"/>
      <c r="AA43" s="44"/>
      <c r="AB43" s="44"/>
      <c r="AC43" s="44"/>
    </row>
    <row r="44" spans="1:29" ht="15.75" customHeight="1" x14ac:dyDescent="0.25">
      <c r="A44" s="45" t="str">
        <f>IF(ROW()-2&lt;=Inputs!$B$3+1,ROW()-2,"")</f>
        <v/>
      </c>
      <c r="B44" s="45" t="str">
        <f>IF($A44="","",Inputs!$B$2+$A44-1)</f>
        <v/>
      </c>
      <c r="C44" s="46" t="str">
        <f>IF($A44="","",IF($A44=1,Inputs!$B$9,I43))</f>
        <v/>
      </c>
      <c r="D44" s="46" t="str">
        <f>IF($A44="","",Inputs!$B$4*12*(1+Inputs!$B$10/100)^($A44-1))</f>
        <v/>
      </c>
      <c r="E44" s="46" t="str">
        <f t="shared" si="5"/>
        <v/>
      </c>
      <c r="F44" s="46" t="str">
        <f>IF($A44="","",C44*(Inputs!$B$5/100))</f>
        <v/>
      </c>
      <c r="G44" s="46" t="str">
        <f>IF($A44="","",IF(OR(Inputs!$B$8&lt;=0,Inputs!$B$8=""),0,IF(AND($A44&gt;=Inputs!$B$8,MOD($A44,Inputs!$B$8)=0),Inputs!$B$7*(1+Inputs!$B$6/100)^$A44,0)))</f>
        <v/>
      </c>
      <c r="H44" s="46" t="str">
        <f t="shared" si="6"/>
        <v/>
      </c>
      <c r="I44" s="46" t="str">
        <f t="shared" si="7"/>
        <v/>
      </c>
      <c r="J44" s="62"/>
      <c r="K44" s="48" t="str">
        <f>IF($A44="","",IFERROR(I44/(Inputs!$B$7*(1+Inputs!$B$6/100)^$A44),"-"))</f>
        <v/>
      </c>
      <c r="L44" s="49" t="e">
        <f t="shared" si="8"/>
        <v>#N/A</v>
      </c>
      <c r="M44" s="43" t="e">
        <f t="shared" si="9"/>
        <v>#N/A</v>
      </c>
      <c r="N44" s="44"/>
      <c r="O44" s="44"/>
      <c r="P44" s="44"/>
      <c r="Q44" s="44"/>
      <c r="R44" s="44"/>
      <c r="S44" s="44"/>
      <c r="T44" s="44"/>
      <c r="U44" s="44"/>
      <c r="V44" s="44"/>
      <c r="W44" s="44"/>
      <c r="X44" s="44"/>
      <c r="Y44" s="44"/>
      <c r="Z44" s="44"/>
      <c r="AA44" s="44"/>
      <c r="AB44" s="44"/>
      <c r="AC44" s="44"/>
    </row>
    <row r="45" spans="1:29" ht="15.75" customHeight="1" x14ac:dyDescent="0.25">
      <c r="A45" s="39" t="str">
        <f>IF(ROW()-2&lt;=Inputs!$B$3+1,ROW()-2,"")</f>
        <v/>
      </c>
      <c r="B45" s="39" t="str">
        <f>IF($A45="","",Inputs!$B$2+$A45-1)</f>
        <v/>
      </c>
      <c r="C45" s="40" t="str">
        <f>IF($A45="","",IF($A45=1,Inputs!$B$9,I44))</f>
        <v/>
      </c>
      <c r="D45" s="40" t="str">
        <f>IF($A45="","",Inputs!$B$4*12*(1+Inputs!$B$10/100)^($A45-1))</f>
        <v/>
      </c>
      <c r="E45" s="40" t="str">
        <f t="shared" si="5"/>
        <v/>
      </c>
      <c r="F45" s="40" t="str">
        <f>IF($A45="","",C45*(Inputs!$B$5/100))</f>
        <v/>
      </c>
      <c r="G45" s="40" t="str">
        <f>IF($A45="","",IF(OR(Inputs!$B$8&lt;=0,Inputs!$B$8=""),0,IF(AND($A45&gt;=Inputs!$B$8,MOD($A45,Inputs!$B$8)=0),Inputs!$B$7*(1+Inputs!$B$6/100)^$A45,0)))</f>
        <v/>
      </c>
      <c r="H45" s="40" t="str">
        <f t="shared" si="6"/>
        <v/>
      </c>
      <c r="I45" s="40" t="str">
        <f t="shared" si="7"/>
        <v/>
      </c>
      <c r="J45" s="60"/>
      <c r="K45" s="42" t="str">
        <f>IF($A45="","",IFERROR(I45/(Inputs!$B$7*(1+Inputs!$B$6/100)^$A45),"-"))</f>
        <v/>
      </c>
      <c r="L45" s="43" t="e">
        <f t="shared" si="8"/>
        <v>#N/A</v>
      </c>
      <c r="M45" s="43" t="e">
        <f t="shared" si="9"/>
        <v>#N/A</v>
      </c>
      <c r="N45" s="44"/>
      <c r="O45" s="44"/>
      <c r="P45" s="44"/>
      <c r="Q45" s="44"/>
      <c r="R45" s="44"/>
      <c r="S45" s="44"/>
      <c r="T45" s="44"/>
      <c r="U45" s="44"/>
      <c r="V45" s="44"/>
      <c r="W45" s="44"/>
      <c r="X45" s="44"/>
      <c r="Y45" s="44"/>
      <c r="Z45" s="44"/>
      <c r="AA45" s="44"/>
      <c r="AB45" s="44"/>
      <c r="AC45" s="44"/>
    </row>
    <row r="46" spans="1:29" ht="15.75" customHeight="1" x14ac:dyDescent="0.25">
      <c r="A46" s="45" t="str">
        <f>IF(ROW()-2&lt;=Inputs!$B$3+1,ROW()-2,"")</f>
        <v/>
      </c>
      <c r="B46" s="45" t="str">
        <f>IF($A46="","",Inputs!$B$2+$A46-1)</f>
        <v/>
      </c>
      <c r="C46" s="46" t="str">
        <f>IF($A46="","",IF($A46=1,Inputs!$B$9,I45))</f>
        <v/>
      </c>
      <c r="D46" s="46" t="str">
        <f>IF($A46="","",Inputs!$B$4*12*(1+Inputs!$B$10/100)^($A46-1))</f>
        <v/>
      </c>
      <c r="E46" s="46" t="str">
        <f t="shared" si="5"/>
        <v/>
      </c>
      <c r="F46" s="46" t="str">
        <f>IF($A46="","",C46*(Inputs!$B$5/100))</f>
        <v/>
      </c>
      <c r="G46" s="46" t="str">
        <f>IF($A46="","",IF(OR(Inputs!$B$8&lt;=0,Inputs!$B$8=""),0,IF(AND($A46&gt;=Inputs!$B$8,MOD($A46,Inputs!$B$8)=0),Inputs!$B$7*(1+Inputs!$B$6/100)^$A46,0)))</f>
        <v/>
      </c>
      <c r="H46" s="46" t="str">
        <f t="shared" si="6"/>
        <v/>
      </c>
      <c r="I46" s="46" t="str">
        <f t="shared" si="7"/>
        <v/>
      </c>
      <c r="J46" s="61"/>
      <c r="K46" s="48" t="str">
        <f>IF($A46="","",IFERROR(I46/(Inputs!$B$7*(1+Inputs!$B$6/100)^$A46),"-"))</f>
        <v/>
      </c>
      <c r="L46" s="43" t="e">
        <f t="shared" si="8"/>
        <v>#N/A</v>
      </c>
      <c r="M46" s="43" t="e">
        <f t="shared" si="9"/>
        <v>#N/A</v>
      </c>
      <c r="N46" s="44"/>
      <c r="O46" s="44"/>
      <c r="P46" s="44"/>
      <c r="Q46" s="44"/>
      <c r="R46" s="44"/>
      <c r="S46" s="44"/>
      <c r="T46" s="44"/>
      <c r="U46" s="44"/>
      <c r="V46" s="44"/>
      <c r="W46" s="44"/>
      <c r="X46" s="44"/>
      <c r="Y46" s="44"/>
      <c r="Z46" s="44"/>
      <c r="AA46" s="44"/>
      <c r="AB46" s="44"/>
      <c r="AC46" s="44"/>
    </row>
    <row r="47" spans="1:29" ht="15.75" customHeight="1" x14ac:dyDescent="0.25">
      <c r="A47" s="39" t="str">
        <f>IF(ROW()-2&lt;=Inputs!$B$3+1,ROW()-2,"")</f>
        <v/>
      </c>
      <c r="B47" s="39" t="str">
        <f>IF($A47="","",Inputs!$B$2+$A47-1)</f>
        <v/>
      </c>
      <c r="C47" s="40" t="str">
        <f>IF($A47="","",IF($A47=1,Inputs!$B$9,I46))</f>
        <v/>
      </c>
      <c r="D47" s="40" t="str">
        <f>IF($A47="","",Inputs!$B$4*12*(1+Inputs!$B$10/100)^($A47-1))</f>
        <v/>
      </c>
      <c r="E47" s="40" t="str">
        <f t="shared" si="5"/>
        <v/>
      </c>
      <c r="F47" s="40" t="str">
        <f>IF($A47="","",C47*(Inputs!$B$5/100))</f>
        <v/>
      </c>
      <c r="G47" s="40" t="str">
        <f>IF($A47="","",IF(OR(Inputs!$B$8&lt;=0,Inputs!$B$8=""),0,IF(AND($A47&gt;=Inputs!$B$8,MOD($A47,Inputs!$B$8)=0),Inputs!$B$7*(1+Inputs!$B$6/100)^$A47,0)))</f>
        <v/>
      </c>
      <c r="H47" s="40" t="str">
        <f t="shared" si="6"/>
        <v/>
      </c>
      <c r="I47" s="40" t="str">
        <f t="shared" si="7"/>
        <v/>
      </c>
      <c r="J47" s="60"/>
      <c r="K47" s="42" t="str">
        <f>IF($A47="","",IFERROR(I47/(Inputs!$B$7*(1+Inputs!$B$6/100)^$A47),"-"))</f>
        <v/>
      </c>
      <c r="L47" s="43" t="e">
        <f t="shared" si="8"/>
        <v>#N/A</v>
      </c>
      <c r="M47" s="43" t="e">
        <f t="shared" si="9"/>
        <v>#N/A</v>
      </c>
      <c r="N47" s="44"/>
      <c r="O47" s="44"/>
      <c r="P47" s="44"/>
      <c r="Q47" s="44"/>
      <c r="R47" s="44"/>
      <c r="S47" s="44"/>
      <c r="T47" s="44"/>
      <c r="U47" s="44"/>
      <c r="V47" s="44"/>
      <c r="W47" s="44"/>
      <c r="X47" s="44"/>
      <c r="Y47" s="44"/>
      <c r="Z47" s="44"/>
      <c r="AA47" s="44"/>
      <c r="AB47" s="44"/>
      <c r="AC47" s="44"/>
    </row>
    <row r="48" spans="1:29" ht="15.75" customHeight="1" x14ac:dyDescent="0.25">
      <c r="A48" s="45" t="str">
        <f>IF(ROW()-2&lt;=Inputs!$B$3+1,ROW()-2,"")</f>
        <v/>
      </c>
      <c r="B48" s="45" t="str">
        <f>IF($A48="","",Inputs!$B$2+$A48-1)</f>
        <v/>
      </c>
      <c r="C48" s="46" t="str">
        <f>IF($A48="","",IF($A48=1,Inputs!$B$9,I47))</f>
        <v/>
      </c>
      <c r="D48" s="46" t="str">
        <f>IF($A48="","",Inputs!$B$4*12*(1+Inputs!$B$10/100)^($A48-1))</f>
        <v/>
      </c>
      <c r="E48" s="46" t="str">
        <f t="shared" si="5"/>
        <v/>
      </c>
      <c r="F48" s="46" t="str">
        <f>IF($A48="","",C48*(Inputs!$B$5/100))</f>
        <v/>
      </c>
      <c r="G48" s="46" t="str">
        <f>IF($A48="","",IF(OR(Inputs!$B$8&lt;=0,Inputs!$B$8=""),0,IF(AND($A48&gt;=Inputs!$B$8,MOD($A48,Inputs!$B$8)=0),Inputs!$B$7*(1+Inputs!$B$6/100)^$A48,0)))</f>
        <v/>
      </c>
      <c r="H48" s="46" t="str">
        <f t="shared" si="6"/>
        <v/>
      </c>
      <c r="I48" s="46" t="str">
        <f t="shared" si="7"/>
        <v/>
      </c>
      <c r="J48" s="61"/>
      <c r="K48" s="48" t="str">
        <f>IF($A48="","",IFERROR(I48/(Inputs!$B$7*(1+Inputs!$B$6/100)^$A48),"-"))</f>
        <v/>
      </c>
      <c r="L48" s="43" t="e">
        <f t="shared" si="8"/>
        <v>#N/A</v>
      </c>
      <c r="M48" s="43" t="e">
        <f t="shared" si="9"/>
        <v>#N/A</v>
      </c>
      <c r="N48" s="44"/>
      <c r="O48" s="44"/>
      <c r="P48" s="44"/>
      <c r="Q48" s="44"/>
      <c r="R48" s="44"/>
      <c r="S48" s="44"/>
      <c r="T48" s="44"/>
      <c r="U48" s="44"/>
      <c r="V48" s="44"/>
      <c r="W48" s="44"/>
      <c r="X48" s="44"/>
      <c r="Y48" s="44"/>
      <c r="Z48" s="44"/>
      <c r="AA48" s="44"/>
      <c r="AB48" s="44"/>
      <c r="AC48" s="44"/>
    </row>
    <row r="49" spans="1:29" ht="15.75" customHeight="1" x14ac:dyDescent="0.25">
      <c r="A49" s="39" t="str">
        <f>IF(ROW()-2&lt;=Inputs!$B$3+1,ROW()-2,"")</f>
        <v/>
      </c>
      <c r="B49" s="39" t="str">
        <f>IF($A49="","",Inputs!$B$2+$A49-1)</f>
        <v/>
      </c>
      <c r="C49" s="40" t="str">
        <f>IF($A49="","",IF($A49=1,Inputs!$B$9,I48))</f>
        <v/>
      </c>
      <c r="D49" s="40" t="str">
        <f>IF($A49="","",Inputs!$B$4*12*(1+Inputs!$B$10/100)^($A49-1))</f>
        <v/>
      </c>
      <c r="E49" s="40" t="str">
        <f t="shared" si="5"/>
        <v/>
      </c>
      <c r="F49" s="40" t="str">
        <f>IF($A49="","",C49*(Inputs!$B$5/100))</f>
        <v/>
      </c>
      <c r="G49" s="40" t="str">
        <f>IF($A49="","",IF(OR(Inputs!$B$8&lt;=0,Inputs!$B$8=""),0,IF(AND($A49&gt;=Inputs!$B$8,MOD($A49,Inputs!$B$8)=0),Inputs!$B$7*(1+Inputs!$B$6/100)^$A49,0)))</f>
        <v/>
      </c>
      <c r="H49" s="40" t="str">
        <f t="shared" si="6"/>
        <v/>
      </c>
      <c r="I49" s="40" t="str">
        <f t="shared" si="7"/>
        <v/>
      </c>
      <c r="J49" s="60"/>
      <c r="K49" s="42" t="str">
        <f>IF($A49="","",IFERROR(I49/(Inputs!$B$7*(1+Inputs!$B$6/100)^$A49),"-"))</f>
        <v/>
      </c>
      <c r="L49" s="43" t="e">
        <f t="shared" si="8"/>
        <v>#N/A</v>
      </c>
      <c r="M49" s="43" t="e">
        <f t="shared" si="9"/>
        <v>#N/A</v>
      </c>
      <c r="N49" s="44"/>
      <c r="O49" s="44"/>
      <c r="P49" s="44"/>
      <c r="Q49" s="44"/>
      <c r="R49" s="44"/>
      <c r="S49" s="44"/>
      <c r="T49" s="44"/>
      <c r="U49" s="44"/>
      <c r="V49" s="44"/>
      <c r="W49" s="44"/>
      <c r="X49" s="44"/>
      <c r="Y49" s="44"/>
      <c r="Z49" s="44"/>
      <c r="AA49" s="44"/>
      <c r="AB49" s="44"/>
      <c r="AC49" s="44"/>
    </row>
    <row r="50" spans="1:29" ht="15.75" customHeight="1" x14ac:dyDescent="0.25">
      <c r="A50" s="45" t="str">
        <f>IF(ROW()-2&lt;=Inputs!$B$3+1,ROW()-2,"")</f>
        <v/>
      </c>
      <c r="B50" s="45" t="str">
        <f>IF($A50="","",Inputs!$B$2+$A50-1)</f>
        <v/>
      </c>
      <c r="C50" s="46" t="str">
        <f>IF($A50="","",IF($A50=1,Inputs!$B$9,I49))</f>
        <v/>
      </c>
      <c r="D50" s="46" t="str">
        <f>IF($A50="","",Inputs!$B$4*12*(1+Inputs!$B$10/100)^($A50-1))</f>
        <v/>
      </c>
      <c r="E50" s="46" t="str">
        <f t="shared" si="5"/>
        <v/>
      </c>
      <c r="F50" s="46" t="str">
        <f>IF($A50="","",C50*(Inputs!$B$5/100))</f>
        <v/>
      </c>
      <c r="G50" s="46" t="str">
        <f>IF($A50="","",IF(OR(Inputs!$B$8&lt;=0,Inputs!$B$8=""),0,IF(AND($A50&gt;=Inputs!$B$8,MOD($A50,Inputs!$B$8)=0),Inputs!$B$7*(1+Inputs!$B$6/100)^$A50,0)))</f>
        <v/>
      </c>
      <c r="H50" s="46" t="str">
        <f t="shared" si="6"/>
        <v/>
      </c>
      <c r="I50" s="46" t="str">
        <f t="shared" si="7"/>
        <v/>
      </c>
      <c r="J50" s="61"/>
      <c r="K50" s="48" t="str">
        <f>IF($A50="","",IFERROR(I50/(Inputs!$B$7*(1+Inputs!$B$6/100)^$A50),"-"))</f>
        <v/>
      </c>
      <c r="L50" s="43" t="e">
        <f t="shared" si="8"/>
        <v>#N/A</v>
      </c>
      <c r="M50" s="43" t="e">
        <f t="shared" si="9"/>
        <v>#N/A</v>
      </c>
      <c r="N50" s="44"/>
      <c r="O50" s="44"/>
      <c r="P50" s="44"/>
      <c r="Q50" s="44"/>
      <c r="R50" s="44"/>
      <c r="S50" s="44"/>
      <c r="T50" s="44"/>
      <c r="U50" s="44"/>
      <c r="V50" s="44"/>
      <c r="W50" s="44"/>
      <c r="X50" s="44"/>
      <c r="Y50" s="44"/>
      <c r="Z50" s="44"/>
      <c r="AA50" s="44"/>
      <c r="AB50" s="44"/>
      <c r="AC50" s="44"/>
    </row>
    <row r="51" spans="1:29" ht="15.75" customHeight="1" x14ac:dyDescent="0.25">
      <c r="A51" s="39" t="str">
        <f>IF(ROW()-2&lt;=Inputs!$B$3+1,ROW()-2,"")</f>
        <v/>
      </c>
      <c r="B51" s="39" t="str">
        <f>IF($A51="","",Inputs!$B$2+$A51-1)</f>
        <v/>
      </c>
      <c r="C51" s="40" t="str">
        <f>IF($A51="","",IF($A51=1,Inputs!$B$9,I50))</f>
        <v/>
      </c>
      <c r="D51" s="40" t="str">
        <f>IF($A51="","",Inputs!$B$4*12*(1+Inputs!$B$10/100)^($A51-1))</f>
        <v/>
      </c>
      <c r="E51" s="40" t="str">
        <f t="shared" si="5"/>
        <v/>
      </c>
      <c r="F51" s="40" t="str">
        <f>IF($A51="","",C51*(Inputs!$B$5/100))</f>
        <v/>
      </c>
      <c r="G51" s="40" t="str">
        <f>IF($A51="","",IF(OR(Inputs!$B$8&lt;=0,Inputs!$B$8=""),0,IF(AND($A51&gt;=Inputs!$B$8,MOD($A51,Inputs!$B$8)=0),Inputs!$B$7*(1+Inputs!$B$6/100)^$A51,0)))</f>
        <v/>
      </c>
      <c r="H51" s="40" t="str">
        <f t="shared" si="6"/>
        <v/>
      </c>
      <c r="I51" s="40" t="str">
        <f t="shared" si="7"/>
        <v/>
      </c>
      <c r="J51" s="60"/>
      <c r="K51" s="42" t="str">
        <f>IF($A51="","",IFERROR(I51/(Inputs!$B$7*(1+Inputs!$B$6/100)^$A51),"-"))</f>
        <v/>
      </c>
      <c r="L51" s="43" t="e">
        <f t="shared" si="8"/>
        <v>#N/A</v>
      </c>
      <c r="M51" s="43" t="e">
        <f t="shared" si="9"/>
        <v>#N/A</v>
      </c>
      <c r="N51" s="44"/>
      <c r="O51" s="44"/>
      <c r="P51" s="44"/>
      <c r="Q51" s="44"/>
      <c r="R51" s="44"/>
      <c r="S51" s="44"/>
      <c r="T51" s="44"/>
      <c r="U51" s="44"/>
      <c r="V51" s="44"/>
      <c r="W51" s="44"/>
      <c r="X51" s="44"/>
      <c r="Y51" s="44"/>
      <c r="Z51" s="44"/>
      <c r="AA51" s="44"/>
      <c r="AB51" s="44"/>
      <c r="AC51" s="44"/>
    </row>
    <row r="52" spans="1:29" ht="15.75" customHeight="1" x14ac:dyDescent="0.25">
      <c r="A52" s="45" t="str">
        <f>IF(ROW()-2&lt;=Inputs!$B$3+1,ROW()-2,"")</f>
        <v/>
      </c>
      <c r="B52" s="45" t="str">
        <f>IF($A52="","",Inputs!$B$2+$A52-1)</f>
        <v/>
      </c>
      <c r="C52" s="46" t="str">
        <f>IF($A52="","",IF($A52=1,Inputs!$B$9,I51))</f>
        <v/>
      </c>
      <c r="D52" s="46" t="str">
        <f>IF($A52="","",Inputs!$B$4*12*(1+Inputs!$B$10/100)^($A52-1))</f>
        <v/>
      </c>
      <c r="E52" s="46" t="str">
        <f t="shared" si="5"/>
        <v/>
      </c>
      <c r="F52" s="46" t="str">
        <f>IF($A52="","",C52*(Inputs!$B$5/100))</f>
        <v/>
      </c>
      <c r="G52" s="46" t="str">
        <f>IF($A52="","",IF(OR(Inputs!$B$8&lt;=0,Inputs!$B$8=""),0,IF(AND($A52&gt;=Inputs!$B$8,MOD($A52,Inputs!$B$8)=0),Inputs!$B$7*(1+Inputs!$B$6/100)^$A52,0)))</f>
        <v/>
      </c>
      <c r="H52" s="46" t="str">
        <f t="shared" si="6"/>
        <v/>
      </c>
      <c r="I52" s="46" t="str">
        <f t="shared" si="7"/>
        <v/>
      </c>
      <c r="J52" s="61"/>
      <c r="K52" s="48" t="str">
        <f>IF($A52="","",IFERROR(I52/(Inputs!$B$7*(1+Inputs!$B$6/100)^$A52),"-"))</f>
        <v/>
      </c>
      <c r="L52" s="43" t="e">
        <f t="shared" si="8"/>
        <v>#N/A</v>
      </c>
      <c r="M52" s="43" t="e">
        <f t="shared" si="9"/>
        <v>#N/A</v>
      </c>
      <c r="N52" s="44"/>
      <c r="O52" s="44"/>
      <c r="P52" s="44"/>
      <c r="Q52" s="44"/>
      <c r="R52" s="44"/>
      <c r="S52" s="44"/>
      <c r="T52" s="44"/>
      <c r="U52" s="44"/>
      <c r="V52" s="44"/>
      <c r="W52" s="44"/>
      <c r="X52" s="44"/>
      <c r="Y52" s="44"/>
      <c r="Z52" s="44"/>
      <c r="AA52" s="44"/>
      <c r="AB52" s="44"/>
      <c r="AC52" s="44"/>
    </row>
    <row r="53" spans="1:29" ht="15.75" customHeight="1" x14ac:dyDescent="0.25">
      <c r="A53" s="39" t="str">
        <f>IF(ROW()-2&lt;=Inputs!$B$3+1,ROW()-2,"")</f>
        <v/>
      </c>
      <c r="B53" s="39" t="str">
        <f>IF($A53="","",Inputs!$B$2+$A53-1)</f>
        <v/>
      </c>
      <c r="C53" s="40" t="str">
        <f>IF($A53="","",IF($A53=1,Inputs!$B$9,I52))</f>
        <v/>
      </c>
      <c r="D53" s="40" t="str">
        <f>IF($A53="","",Inputs!$B$4*12*(1+Inputs!$B$10/100)^($A53-1))</f>
        <v/>
      </c>
      <c r="E53" s="40" t="str">
        <f t="shared" si="5"/>
        <v/>
      </c>
      <c r="F53" s="40" t="str">
        <f>IF($A53="","",C53*(Inputs!$B$5/100))</f>
        <v/>
      </c>
      <c r="G53" s="40" t="str">
        <f>IF($A53="","",IF(OR(Inputs!$B$8&lt;=0,Inputs!$B$8=""),0,IF(AND($A53&gt;=Inputs!$B$8,MOD($A53,Inputs!$B$8)=0),Inputs!$B$7*(1+Inputs!$B$6/100)^$A53,0)))</f>
        <v/>
      </c>
      <c r="H53" s="40" t="str">
        <f t="shared" si="6"/>
        <v/>
      </c>
      <c r="I53" s="40" t="str">
        <f t="shared" si="7"/>
        <v/>
      </c>
      <c r="J53" s="60"/>
      <c r="K53" s="42" t="str">
        <f>IF($A53="","",IFERROR(I53/(Inputs!$B$7*(1+Inputs!$B$6/100)^$A53),"-"))</f>
        <v/>
      </c>
      <c r="L53" s="43" t="e">
        <f t="shared" si="8"/>
        <v>#N/A</v>
      </c>
      <c r="M53" s="43" t="e">
        <f t="shared" si="9"/>
        <v>#N/A</v>
      </c>
      <c r="N53" s="44"/>
      <c r="O53" s="44"/>
      <c r="P53" s="44"/>
      <c r="Q53" s="44"/>
      <c r="R53" s="44"/>
      <c r="S53" s="44"/>
      <c r="T53" s="44"/>
      <c r="U53" s="44"/>
      <c r="V53" s="44"/>
      <c r="W53" s="44"/>
      <c r="X53" s="44"/>
      <c r="Y53" s="44"/>
      <c r="Z53" s="44"/>
      <c r="AA53" s="44"/>
      <c r="AB53" s="44"/>
      <c r="AC53" s="44"/>
    </row>
    <row r="54" spans="1:29" ht="15.75" customHeight="1" x14ac:dyDescent="0.25">
      <c r="A54" s="45" t="str">
        <f>IF(ROW()-2&lt;=Inputs!$B$3+1,ROW()-2,"")</f>
        <v/>
      </c>
      <c r="B54" s="45" t="str">
        <f>IF($A54="","",Inputs!$B$2+$A54-1)</f>
        <v/>
      </c>
      <c r="C54" s="46" t="str">
        <f>IF($A54="","",IF($A54=1,Inputs!$B$9,I53))</f>
        <v/>
      </c>
      <c r="D54" s="46" t="str">
        <f>IF($A54="","",Inputs!$B$4*12*(1+Inputs!$B$10/100)^($A54-1))</f>
        <v/>
      </c>
      <c r="E54" s="46" t="str">
        <f t="shared" si="5"/>
        <v/>
      </c>
      <c r="F54" s="46" t="str">
        <f>IF($A54="","",C54*(Inputs!$B$5/100))</f>
        <v/>
      </c>
      <c r="G54" s="46" t="str">
        <f>IF($A54="","",IF(OR(Inputs!$B$8&lt;=0,Inputs!$B$8=""),0,IF(AND($A54&gt;=Inputs!$B$8,MOD($A54,Inputs!$B$8)=0),Inputs!$B$7*(1+Inputs!$B$6/100)^$A54,0)))</f>
        <v/>
      </c>
      <c r="H54" s="46" t="str">
        <f t="shared" si="6"/>
        <v/>
      </c>
      <c r="I54" s="46" t="str">
        <f t="shared" si="7"/>
        <v/>
      </c>
      <c r="J54" s="61"/>
      <c r="K54" s="48" t="str">
        <f>IF($A54="","",IFERROR(I54/(Inputs!$B$7*(1+Inputs!$B$6/100)^$A54),"-"))</f>
        <v/>
      </c>
      <c r="L54" s="43" t="e">
        <f t="shared" si="8"/>
        <v>#N/A</v>
      </c>
      <c r="M54" s="43" t="e">
        <f t="shared" si="9"/>
        <v>#N/A</v>
      </c>
      <c r="N54" s="44"/>
      <c r="O54" s="44"/>
      <c r="P54" s="44"/>
      <c r="Q54" s="44"/>
      <c r="R54" s="44"/>
      <c r="S54" s="44"/>
      <c r="T54" s="44"/>
      <c r="U54" s="44"/>
      <c r="V54" s="44"/>
      <c r="W54" s="44"/>
      <c r="X54" s="44"/>
      <c r="Y54" s="44"/>
      <c r="Z54" s="44"/>
      <c r="AA54" s="44"/>
      <c r="AB54" s="44"/>
      <c r="AC54" s="44"/>
    </row>
    <row r="55" spans="1:29" ht="15.75" customHeight="1" x14ac:dyDescent="0.25">
      <c r="A55" s="39" t="str">
        <f>IF(ROW()-2&lt;=Inputs!$B$3+1,ROW()-2,"")</f>
        <v/>
      </c>
      <c r="B55" s="39" t="str">
        <f>IF($A55="","",Inputs!$B$2+$A55-1)</f>
        <v/>
      </c>
      <c r="C55" s="40" t="str">
        <f>IF($A55="","",IF($A55=1,Inputs!$B$9,I54))</f>
        <v/>
      </c>
      <c r="D55" s="40" t="str">
        <f>IF($A55="","",Inputs!$B$4*12*(1+Inputs!$B$10/100)^($A55-1))</f>
        <v/>
      </c>
      <c r="E55" s="40" t="str">
        <f t="shared" si="5"/>
        <v/>
      </c>
      <c r="F55" s="40" t="str">
        <f>IF($A55="","",C55*(Inputs!$B$5/100))</f>
        <v/>
      </c>
      <c r="G55" s="40" t="str">
        <f>IF($A55="","",IF(OR(Inputs!$B$8&lt;=0,Inputs!$B$8=""),0,IF(AND($A55&gt;=Inputs!$B$8,MOD($A55,Inputs!$B$8)=0),Inputs!$B$7*(1+Inputs!$B$6/100)^$A55,0)))</f>
        <v/>
      </c>
      <c r="H55" s="40" t="str">
        <f t="shared" si="6"/>
        <v/>
      </c>
      <c r="I55" s="40" t="str">
        <f t="shared" si="7"/>
        <v/>
      </c>
      <c r="J55" s="60"/>
      <c r="K55" s="42" t="str">
        <f>IF($A55="","",IFERROR(I55/(Inputs!$B$7*(1+Inputs!$B$6/100)^$A55),"-"))</f>
        <v/>
      </c>
      <c r="L55" s="43" t="e">
        <f t="shared" si="8"/>
        <v>#N/A</v>
      </c>
      <c r="M55" s="43" t="e">
        <f t="shared" si="9"/>
        <v>#N/A</v>
      </c>
      <c r="N55" s="44"/>
      <c r="O55" s="44"/>
      <c r="P55" s="44"/>
      <c r="Q55" s="44"/>
      <c r="R55" s="44"/>
      <c r="S55" s="44"/>
      <c r="T55" s="44"/>
      <c r="U55" s="44"/>
      <c r="V55" s="44"/>
      <c r="W55" s="44"/>
      <c r="X55" s="44"/>
      <c r="Y55" s="44"/>
      <c r="Z55" s="44"/>
      <c r="AA55" s="44"/>
      <c r="AB55" s="44"/>
      <c r="AC55" s="44"/>
    </row>
    <row r="56" spans="1:29" ht="15.75" customHeight="1" x14ac:dyDescent="0.25">
      <c r="A56" s="45" t="str">
        <f>IF(ROW()-2&lt;=Inputs!$B$3+1,ROW()-2,"")</f>
        <v/>
      </c>
      <c r="B56" s="45" t="str">
        <f>IF($A56="","",Inputs!$B$2+$A56-1)</f>
        <v/>
      </c>
      <c r="C56" s="46" t="str">
        <f>IF($A56="","",IF($A56=1,Inputs!$B$9,I55))</f>
        <v/>
      </c>
      <c r="D56" s="46" t="str">
        <f>IF($A56="","",Inputs!$B$4*12*(1+Inputs!$B$10/100)^($A56-1))</f>
        <v/>
      </c>
      <c r="E56" s="46" t="str">
        <f t="shared" si="5"/>
        <v/>
      </c>
      <c r="F56" s="46" t="str">
        <f>IF($A56="","",C56*(Inputs!$B$5/100))</f>
        <v/>
      </c>
      <c r="G56" s="46" t="str">
        <f>IF($A56="","",IF(OR(Inputs!$B$8&lt;=0,Inputs!$B$8=""),0,IF(AND($A56&gt;=Inputs!$B$8,MOD($A56,Inputs!$B$8)=0),Inputs!$B$7*(1+Inputs!$B$6/100)^$A56,0)))</f>
        <v/>
      </c>
      <c r="H56" s="46" t="str">
        <f t="shared" si="6"/>
        <v/>
      </c>
      <c r="I56" s="46" t="str">
        <f t="shared" si="7"/>
        <v/>
      </c>
      <c r="J56" s="61"/>
      <c r="K56" s="48" t="str">
        <f>IF($A56="","",IFERROR(I56/(Inputs!$B$7*(1+Inputs!$B$6/100)^$A56),"-"))</f>
        <v/>
      </c>
      <c r="L56" s="43" t="e">
        <f t="shared" si="8"/>
        <v>#N/A</v>
      </c>
      <c r="M56" s="43" t="e">
        <f t="shared" si="9"/>
        <v>#N/A</v>
      </c>
      <c r="N56" s="44"/>
      <c r="O56" s="44"/>
      <c r="P56" s="44"/>
      <c r="Q56" s="44"/>
      <c r="R56" s="44"/>
      <c r="S56" s="44"/>
      <c r="T56" s="44"/>
      <c r="U56" s="44"/>
      <c r="V56" s="44"/>
      <c r="W56" s="44"/>
      <c r="X56" s="44"/>
      <c r="Y56" s="44"/>
      <c r="Z56" s="44"/>
      <c r="AA56" s="44"/>
      <c r="AB56" s="44"/>
      <c r="AC56" s="44"/>
    </row>
    <row r="57" spans="1:29" ht="15.75" customHeight="1" x14ac:dyDescent="0.25">
      <c r="A57" s="39" t="str">
        <f>IF(ROW()-2&lt;=Inputs!$B$3+1,ROW()-2,"")</f>
        <v/>
      </c>
      <c r="B57" s="39" t="str">
        <f>IF($A57="","",Inputs!$B$2+$A57-1)</f>
        <v/>
      </c>
      <c r="C57" s="40" t="str">
        <f>IF($A57="","",IF($A57=1,Inputs!$B$9,I56))</f>
        <v/>
      </c>
      <c r="D57" s="40" t="str">
        <f>IF($A57="","",Inputs!$B$4*12*(1+Inputs!$B$10/100)^($A57-1))</f>
        <v/>
      </c>
      <c r="E57" s="40" t="str">
        <f t="shared" si="5"/>
        <v/>
      </c>
      <c r="F57" s="40" t="str">
        <f>IF($A57="","",C57*(Inputs!$B$5/100))</f>
        <v/>
      </c>
      <c r="G57" s="40" t="str">
        <f>IF($A57="","",IF(OR(Inputs!$B$8&lt;=0,Inputs!$B$8=""),0,IF(AND($A57&gt;=Inputs!$B$8,MOD($A57,Inputs!$B$8)=0),Inputs!$B$7*(1+Inputs!$B$6/100)^$A57,0)))</f>
        <v/>
      </c>
      <c r="H57" s="40" t="str">
        <f t="shared" si="6"/>
        <v/>
      </c>
      <c r="I57" s="40" t="str">
        <f t="shared" si="7"/>
        <v/>
      </c>
      <c r="J57" s="60"/>
      <c r="K57" s="42" t="str">
        <f>IF($A57="","",IFERROR(I57/(Inputs!$B$7*(1+Inputs!$B$6/100)^$A57),"-"))</f>
        <v/>
      </c>
      <c r="L57" s="43" t="e">
        <f t="shared" si="8"/>
        <v>#N/A</v>
      </c>
      <c r="M57" s="43" t="e">
        <f t="shared" si="9"/>
        <v>#N/A</v>
      </c>
      <c r="N57" s="44"/>
      <c r="O57" s="44"/>
      <c r="P57" s="44"/>
      <c r="Q57" s="44"/>
      <c r="R57" s="44"/>
      <c r="S57" s="44"/>
      <c r="T57" s="44"/>
      <c r="U57" s="44"/>
      <c r="V57" s="44"/>
      <c r="W57" s="44"/>
      <c r="X57" s="44"/>
      <c r="Y57" s="44"/>
      <c r="Z57" s="44"/>
      <c r="AA57" s="44"/>
      <c r="AB57" s="44"/>
      <c r="AC57" s="44"/>
    </row>
    <row r="58" spans="1:29" ht="15.75" customHeight="1" x14ac:dyDescent="0.25">
      <c r="A58" s="45" t="str">
        <f>IF(ROW()-2&lt;=Inputs!$B$3+1,ROW()-2,"")</f>
        <v/>
      </c>
      <c r="B58" s="45" t="str">
        <f>IF($A58="","",Inputs!$B$2+$A58-1)</f>
        <v/>
      </c>
      <c r="C58" s="46" t="str">
        <f>IF($A58="","",IF($A58=1,Inputs!$B$9,I57))</f>
        <v/>
      </c>
      <c r="D58" s="46" t="str">
        <f>IF($A58="","",Inputs!$B$4*12*(1+Inputs!$B$10/100)^($A58-1))</f>
        <v/>
      </c>
      <c r="E58" s="46" t="str">
        <f t="shared" si="5"/>
        <v/>
      </c>
      <c r="F58" s="46" t="str">
        <f>IF($A58="","",C58*(Inputs!$B$5/100))</f>
        <v/>
      </c>
      <c r="G58" s="46" t="str">
        <f>IF($A58="","",IF(OR(Inputs!$B$8&lt;=0,Inputs!$B$8=""),0,IF(AND($A58&gt;=Inputs!$B$8,MOD($A58,Inputs!$B$8)=0),Inputs!$B$7*(1+Inputs!$B$6/100)^$A58,0)))</f>
        <v/>
      </c>
      <c r="H58" s="46" t="str">
        <f t="shared" si="6"/>
        <v/>
      </c>
      <c r="I58" s="46" t="str">
        <f t="shared" si="7"/>
        <v/>
      </c>
      <c r="J58" s="61"/>
      <c r="K58" s="48" t="str">
        <f>IF($A58="","",IFERROR(I58/(Inputs!$B$7*(1+Inputs!$B$6/100)^$A58),"-"))</f>
        <v/>
      </c>
      <c r="L58" s="43" t="e">
        <f t="shared" si="8"/>
        <v>#N/A</v>
      </c>
      <c r="M58" s="43" t="e">
        <f t="shared" si="9"/>
        <v>#N/A</v>
      </c>
      <c r="N58" s="44"/>
      <c r="O58" s="44"/>
      <c r="P58" s="44"/>
      <c r="Q58" s="44"/>
      <c r="R58" s="44"/>
      <c r="S58" s="44"/>
      <c r="T58" s="44"/>
      <c r="U58" s="44"/>
      <c r="V58" s="44"/>
      <c r="W58" s="44"/>
      <c r="X58" s="44"/>
      <c r="Y58" s="44"/>
      <c r="Z58" s="44"/>
      <c r="AA58" s="44"/>
      <c r="AB58" s="44"/>
      <c r="AC58" s="44"/>
    </row>
    <row r="59" spans="1:29" ht="15.75" customHeight="1" x14ac:dyDescent="0.25">
      <c r="A59" s="39" t="str">
        <f>IF(ROW()-2&lt;=Inputs!$B$3+1,ROW()-2,"")</f>
        <v/>
      </c>
      <c r="B59" s="39" t="str">
        <f>IF($A59="","",Inputs!$B$2+$A59-1)</f>
        <v/>
      </c>
      <c r="C59" s="40" t="str">
        <f>IF($A59="","",IF($A59=1,Inputs!$B$9,I58))</f>
        <v/>
      </c>
      <c r="D59" s="40" t="str">
        <f>IF($A59="","",Inputs!$B$4*12*(1+Inputs!$B$10/100)^($A59-1))</f>
        <v/>
      </c>
      <c r="E59" s="40" t="str">
        <f t="shared" si="5"/>
        <v/>
      </c>
      <c r="F59" s="40" t="str">
        <f>IF($A59="","",C59*(Inputs!$B$5/100))</f>
        <v/>
      </c>
      <c r="G59" s="40" t="str">
        <f>IF($A59="","",IF(OR(Inputs!$B$8&lt;=0,Inputs!$B$8=""),0,IF(AND($A59&gt;=Inputs!$B$8,MOD($A59,Inputs!$B$8)=0),Inputs!$B$7*(1+Inputs!$B$6/100)^$A59,0)))</f>
        <v/>
      </c>
      <c r="H59" s="40" t="str">
        <f t="shared" si="6"/>
        <v/>
      </c>
      <c r="I59" s="40" t="str">
        <f t="shared" si="7"/>
        <v/>
      </c>
      <c r="J59" s="60"/>
      <c r="K59" s="42" t="str">
        <f>IF($A59="","",IFERROR(I59/(Inputs!$B$7*(1+Inputs!$B$6/100)^$A59),"-"))</f>
        <v/>
      </c>
      <c r="L59" s="43" t="e">
        <f t="shared" si="8"/>
        <v>#N/A</v>
      </c>
      <c r="M59" s="43" t="e">
        <f t="shared" si="9"/>
        <v>#N/A</v>
      </c>
      <c r="N59" s="44"/>
      <c r="O59" s="44"/>
      <c r="P59" s="44"/>
      <c r="Q59" s="44"/>
      <c r="R59" s="44"/>
      <c r="S59" s="44"/>
      <c r="T59" s="44"/>
      <c r="U59" s="44"/>
      <c r="V59" s="44"/>
      <c r="W59" s="44"/>
      <c r="X59" s="44"/>
      <c r="Y59" s="44"/>
      <c r="Z59" s="44"/>
      <c r="AA59" s="44"/>
      <c r="AB59" s="44"/>
      <c r="AC59" s="44"/>
    </row>
    <row r="60" spans="1:29" ht="15.75" customHeight="1" x14ac:dyDescent="0.25">
      <c r="A60" s="45" t="str">
        <f>IF(ROW()-2&lt;=Inputs!$B$3+1,ROW()-2,"")</f>
        <v/>
      </c>
      <c r="B60" s="45" t="str">
        <f>IF($A60="","",Inputs!$B$2+$A60-1)</f>
        <v/>
      </c>
      <c r="C60" s="46" t="str">
        <f>IF($A60="","",IF($A60=1,Inputs!$B$9,I59))</f>
        <v/>
      </c>
      <c r="D60" s="46" t="str">
        <f>IF($A60="","",Inputs!$B$4*12*(1+Inputs!$B$10/100)^($A60-1))</f>
        <v/>
      </c>
      <c r="E60" s="46" t="str">
        <f t="shared" si="5"/>
        <v/>
      </c>
      <c r="F60" s="46" t="str">
        <f>IF($A60="","",C60*(Inputs!$B$5/100))</f>
        <v/>
      </c>
      <c r="G60" s="46" t="str">
        <f>IF($A60="","",IF(OR(Inputs!$B$8&lt;=0,Inputs!$B$8=""),0,IF(AND($A60&gt;=Inputs!$B$8,MOD($A60,Inputs!$B$8)=0),Inputs!$B$7*(1+Inputs!$B$6/100)^$A60,0)))</f>
        <v/>
      </c>
      <c r="H60" s="46" t="str">
        <f t="shared" si="6"/>
        <v/>
      </c>
      <c r="I60" s="46" t="str">
        <f t="shared" si="7"/>
        <v/>
      </c>
      <c r="J60" s="61"/>
      <c r="K60" s="48" t="str">
        <f>IF($A60="","",IFERROR(I60/(Inputs!$B$7*(1+Inputs!$B$6/100)^$A60),"-"))</f>
        <v/>
      </c>
      <c r="L60" s="43" t="e">
        <f t="shared" si="8"/>
        <v>#N/A</v>
      </c>
      <c r="M60" s="43" t="e">
        <f t="shared" si="9"/>
        <v>#N/A</v>
      </c>
      <c r="N60" s="44"/>
      <c r="O60" s="44"/>
      <c r="P60" s="44"/>
      <c r="Q60" s="44"/>
      <c r="R60" s="44"/>
      <c r="S60" s="44"/>
      <c r="T60" s="44"/>
      <c r="U60" s="44"/>
      <c r="V60" s="44"/>
      <c r="W60" s="44"/>
      <c r="X60" s="44"/>
      <c r="Y60" s="44"/>
      <c r="Z60" s="44"/>
      <c r="AA60" s="44"/>
      <c r="AB60" s="44"/>
      <c r="AC60" s="44"/>
    </row>
    <row r="61" spans="1:29" ht="15.75" customHeight="1" x14ac:dyDescent="0.25">
      <c r="A61" s="39" t="str">
        <f>IF(ROW()-2&lt;=Inputs!$B$3+1,ROW()-2,"")</f>
        <v/>
      </c>
      <c r="B61" s="39" t="str">
        <f>IF($A61="","",Inputs!$B$2+$A61-1)</f>
        <v/>
      </c>
      <c r="C61" s="40" t="str">
        <f>IF($A61="","",IF($A61=1,Inputs!$B$9,I60))</f>
        <v/>
      </c>
      <c r="D61" s="40" t="str">
        <f>IF($A61="","",Inputs!$B$4*12*(1+Inputs!$B$10/100)^($A61-1))</f>
        <v/>
      </c>
      <c r="E61" s="40" t="str">
        <f t="shared" si="5"/>
        <v/>
      </c>
      <c r="F61" s="40" t="str">
        <f>IF($A61="","",C61*(Inputs!$B$5/100))</f>
        <v/>
      </c>
      <c r="G61" s="40" t="str">
        <f>IF($A61="","",IF(OR(Inputs!$B$8&lt;=0,Inputs!$B$8=""),0,IF(AND($A61&gt;=Inputs!$B$8,MOD($A61,Inputs!$B$8)=0),Inputs!$B$7*(1+Inputs!$B$6/100)^$A61,0)))</f>
        <v/>
      </c>
      <c r="H61" s="40" t="str">
        <f t="shared" si="6"/>
        <v/>
      </c>
      <c r="I61" s="40" t="str">
        <f t="shared" si="7"/>
        <v/>
      </c>
      <c r="J61" s="60"/>
      <c r="K61" s="42" t="str">
        <f>IF($A61="","",IFERROR(I61/(Inputs!$B$7*(1+Inputs!$B$6/100)^$A61),"-"))</f>
        <v/>
      </c>
      <c r="L61" s="43" t="e">
        <f t="shared" si="8"/>
        <v>#N/A</v>
      </c>
      <c r="M61" s="43" t="e">
        <f t="shared" si="9"/>
        <v>#N/A</v>
      </c>
      <c r="N61" s="44"/>
      <c r="O61" s="44"/>
      <c r="P61" s="44"/>
      <c r="Q61" s="44"/>
      <c r="R61" s="44"/>
      <c r="S61" s="44"/>
      <c r="T61" s="44"/>
      <c r="U61" s="44"/>
      <c r="V61" s="44"/>
      <c r="W61" s="44"/>
      <c r="X61" s="44"/>
      <c r="Y61" s="44"/>
      <c r="Z61" s="44"/>
      <c r="AA61" s="44"/>
      <c r="AB61" s="44"/>
      <c r="AC61" s="44"/>
    </row>
    <row r="62" spans="1:29" ht="15.75" customHeight="1" x14ac:dyDescent="0.25">
      <c r="A62" s="45" t="str">
        <f>IF(ROW()-2&lt;=Inputs!$B$3+1,ROW()-2,"")</f>
        <v/>
      </c>
      <c r="B62" s="45" t="str">
        <f>IF($A62="","",Inputs!$B$2+$A62-1)</f>
        <v/>
      </c>
      <c r="C62" s="46" t="str">
        <f>IF($A62="","",IF($A62=1,Inputs!$B$9,I61))</f>
        <v/>
      </c>
      <c r="D62" s="46" t="str">
        <f>IF($A62="","",Inputs!$B$4*12*(1+Inputs!$B$10/100)^($A62-1))</f>
        <v/>
      </c>
      <c r="E62" s="46" t="str">
        <f t="shared" si="5"/>
        <v/>
      </c>
      <c r="F62" s="46" t="str">
        <f>IF($A62="","",C62*(Inputs!$B$5/100))</f>
        <v/>
      </c>
      <c r="G62" s="46" t="str">
        <f>IF($A62="","",IF(OR(Inputs!$B$8&lt;=0,Inputs!$B$8=""),0,IF(AND($A62&gt;=Inputs!$B$8,MOD($A62,Inputs!$B$8)=0),Inputs!$B$7*(1+Inputs!$B$6/100)^$A62,0)))</f>
        <v/>
      </c>
      <c r="H62" s="46" t="str">
        <f t="shared" si="6"/>
        <v/>
      </c>
      <c r="I62" s="46" t="str">
        <f t="shared" si="7"/>
        <v/>
      </c>
      <c r="J62" s="61"/>
      <c r="K62" s="48" t="str">
        <f>IF($A62="","",IFERROR(I62/(Inputs!$B$7*(1+Inputs!$B$6/100)^$A62),"-"))</f>
        <v/>
      </c>
      <c r="L62" s="43" t="e">
        <f t="shared" si="8"/>
        <v>#N/A</v>
      </c>
      <c r="M62" s="43" t="e">
        <f t="shared" si="9"/>
        <v>#N/A</v>
      </c>
      <c r="N62" s="44"/>
      <c r="O62" s="44"/>
      <c r="P62" s="44"/>
      <c r="Q62" s="44"/>
      <c r="R62" s="44"/>
      <c r="S62" s="44"/>
      <c r="T62" s="44"/>
      <c r="U62" s="44"/>
      <c r="V62" s="44"/>
      <c r="W62" s="44"/>
      <c r="X62" s="44"/>
      <c r="Y62" s="44"/>
      <c r="Z62" s="44"/>
      <c r="AA62" s="44"/>
      <c r="AB62" s="44"/>
      <c r="AC62" s="44"/>
    </row>
    <row r="63" spans="1:29" ht="15.75" customHeight="1" x14ac:dyDescent="0.25">
      <c r="A63" s="39" t="str">
        <f>IF(ROW()-2&lt;=Inputs!$B$3+1,ROW()-2,"")</f>
        <v/>
      </c>
      <c r="B63" s="39" t="str">
        <f>IF($A63="","",Inputs!$B$2+$A63-1)</f>
        <v/>
      </c>
      <c r="C63" s="40" t="str">
        <f>IF($A63="","",IF($A63=1,Inputs!$B$9,I62))</f>
        <v/>
      </c>
      <c r="D63" s="40" t="str">
        <f>IF($A63="","",Inputs!$B$4*12*(1+Inputs!$B$10/100)^($A63-1))</f>
        <v/>
      </c>
      <c r="E63" s="40" t="str">
        <f t="shared" si="5"/>
        <v/>
      </c>
      <c r="F63" s="40" t="str">
        <f>IF($A63="","",C63*(Inputs!$B$5/100))</f>
        <v/>
      </c>
      <c r="G63" s="40" t="str">
        <f>IF($A63="","",IF(OR(Inputs!$B$8&lt;=0,Inputs!$B$8=""),0,IF(AND($A63&gt;=Inputs!$B$8,MOD($A63,Inputs!$B$8)=0),Inputs!$B$7*(1+Inputs!$B$6/100)^$A63,0)))</f>
        <v/>
      </c>
      <c r="H63" s="40" t="str">
        <f t="shared" si="6"/>
        <v/>
      </c>
      <c r="I63" s="40" t="str">
        <f t="shared" si="7"/>
        <v/>
      </c>
      <c r="J63" s="60"/>
      <c r="K63" s="42" t="str">
        <f>IF($A63="","",IFERROR(I63/(Inputs!$B$7*(1+Inputs!$B$6/100)^$A63),"-"))</f>
        <v/>
      </c>
      <c r="L63" s="43" t="e">
        <f t="shared" si="8"/>
        <v>#N/A</v>
      </c>
      <c r="M63" s="43" t="e">
        <f t="shared" si="9"/>
        <v>#N/A</v>
      </c>
      <c r="N63" s="44"/>
      <c r="O63" s="44"/>
      <c r="P63" s="44"/>
      <c r="Q63" s="44"/>
      <c r="R63" s="44"/>
      <c r="S63" s="44"/>
      <c r="T63" s="44"/>
      <c r="U63" s="44"/>
      <c r="V63" s="44"/>
      <c r="W63" s="44"/>
      <c r="X63" s="44"/>
      <c r="Y63" s="44"/>
      <c r="Z63" s="44"/>
      <c r="AA63" s="44"/>
      <c r="AB63" s="44"/>
      <c r="AC63" s="44"/>
    </row>
    <row r="64" spans="1:29" ht="15.75" customHeight="1" x14ac:dyDescent="0.25">
      <c r="A64" s="45" t="str">
        <f>IF(ROW()-2&lt;=Inputs!$B$3+1,ROW()-2,"")</f>
        <v/>
      </c>
      <c r="B64" s="45" t="str">
        <f>IF($A64="","",Inputs!$B$2+$A64-1)</f>
        <v/>
      </c>
      <c r="C64" s="46" t="str">
        <f>IF($A64="","",IF($A64=1,Inputs!$B$9,I63))</f>
        <v/>
      </c>
      <c r="D64" s="46" t="str">
        <f>IF($A64="","",Inputs!$B$4*12*(1+Inputs!$B$10/100)^($A64-1))</f>
        <v/>
      </c>
      <c r="E64" s="46" t="str">
        <f t="shared" si="5"/>
        <v/>
      </c>
      <c r="F64" s="46" t="str">
        <f>IF($A64="","",C64*(Inputs!$B$5/100))</f>
        <v/>
      </c>
      <c r="G64" s="46" t="str">
        <f>IF($A64="","",IF(OR(Inputs!$B$8&lt;=0,Inputs!$B$8=""),0,IF(AND($A64&gt;=Inputs!$B$8,MOD($A64,Inputs!$B$8)=0),Inputs!$B$7*(1+Inputs!$B$6/100)^$A64,0)))</f>
        <v/>
      </c>
      <c r="H64" s="46" t="str">
        <f t="shared" si="6"/>
        <v/>
      </c>
      <c r="I64" s="46" t="str">
        <f t="shared" si="7"/>
        <v/>
      </c>
      <c r="J64" s="61"/>
      <c r="K64" s="48" t="str">
        <f>IF($A64="","",IFERROR(I64/(Inputs!$B$7*(1+Inputs!$B$6/100)^$A64),"-"))</f>
        <v/>
      </c>
      <c r="L64" s="43" t="e">
        <f t="shared" si="8"/>
        <v>#N/A</v>
      </c>
      <c r="M64" s="43" t="e">
        <f t="shared" si="9"/>
        <v>#N/A</v>
      </c>
      <c r="N64" s="44"/>
      <c r="O64" s="44"/>
      <c r="P64" s="44"/>
      <c r="Q64" s="44"/>
      <c r="R64" s="44"/>
      <c r="S64" s="44"/>
      <c r="T64" s="44"/>
      <c r="U64" s="44"/>
      <c r="V64" s="44"/>
      <c r="W64" s="44"/>
      <c r="X64" s="44"/>
      <c r="Y64" s="44"/>
      <c r="Z64" s="44"/>
      <c r="AA64" s="44"/>
      <c r="AB64" s="44"/>
      <c r="AC64" s="44"/>
    </row>
    <row r="65" spans="1:29" ht="15.75" customHeight="1" x14ac:dyDescent="0.25">
      <c r="A65" s="39" t="str">
        <f>IF(ROW()-2&lt;=Inputs!$B$3+1,ROW()-2,"")</f>
        <v/>
      </c>
      <c r="B65" s="39" t="str">
        <f>IF($A65="","",Inputs!$B$2+$A65-1)</f>
        <v/>
      </c>
      <c r="C65" s="40" t="str">
        <f>IF($A65="","",IF($A65=1,Inputs!$B$9,I64))</f>
        <v/>
      </c>
      <c r="D65" s="40" t="str">
        <f>IF($A65="","",Inputs!$B$4*12*(1+Inputs!$B$10/100)^($A65-1))</f>
        <v/>
      </c>
      <c r="E65" s="40" t="str">
        <f t="shared" si="5"/>
        <v/>
      </c>
      <c r="F65" s="40" t="str">
        <f>IF($A65="","",C65*(Inputs!$B$5/100))</f>
        <v/>
      </c>
      <c r="G65" s="40" t="str">
        <f>IF($A65="","",IF(OR(Inputs!$B$8&lt;=0,Inputs!$B$8=""),0,IF(AND($A65&gt;=Inputs!$B$8,MOD($A65,Inputs!$B$8)=0),Inputs!$B$7*(1+Inputs!$B$6/100)^$A65,0)))</f>
        <v/>
      </c>
      <c r="H65" s="40" t="str">
        <f t="shared" si="6"/>
        <v/>
      </c>
      <c r="I65" s="40" t="str">
        <f t="shared" si="7"/>
        <v/>
      </c>
      <c r="J65" s="60"/>
      <c r="K65" s="42" t="str">
        <f>IF($A65="","",IFERROR(I65/(Inputs!$B$7*(1+Inputs!$B$6/100)^$A65),"-"))</f>
        <v/>
      </c>
      <c r="L65" s="43" t="e">
        <f t="shared" si="8"/>
        <v>#N/A</v>
      </c>
      <c r="M65" s="43" t="e">
        <f t="shared" si="9"/>
        <v>#N/A</v>
      </c>
      <c r="N65" s="44"/>
      <c r="O65" s="44"/>
      <c r="P65" s="44"/>
      <c r="Q65" s="44"/>
      <c r="R65" s="44"/>
      <c r="S65" s="44"/>
      <c r="T65" s="44"/>
      <c r="U65" s="44"/>
      <c r="V65" s="44"/>
      <c r="W65" s="44"/>
      <c r="X65" s="44"/>
      <c r="Y65" s="44"/>
      <c r="Z65" s="44"/>
      <c r="AA65" s="44"/>
      <c r="AB65" s="44"/>
      <c r="AC65" s="44"/>
    </row>
    <row r="66" spans="1:29" ht="15.75" customHeight="1" x14ac:dyDescent="0.25">
      <c r="A66" s="45" t="str">
        <f>IF(ROW()-2&lt;=Inputs!$B$3+1,ROW()-2,"")</f>
        <v/>
      </c>
      <c r="B66" s="45" t="str">
        <f>IF($A66="","",Inputs!$B$2+$A66-1)</f>
        <v/>
      </c>
      <c r="C66" s="46" t="str">
        <f>IF($A66="","",IF($A66=1,Inputs!$B$9,I65))</f>
        <v/>
      </c>
      <c r="D66" s="46" t="str">
        <f>IF($A66="","",Inputs!$B$4*12*(1+Inputs!$B$10/100)^($A66-1))</f>
        <v/>
      </c>
      <c r="E66" s="46" t="str">
        <f t="shared" si="5"/>
        <v/>
      </c>
      <c r="F66" s="46" t="str">
        <f>IF($A66="","",C66*(Inputs!$B$5/100))</f>
        <v/>
      </c>
      <c r="G66" s="46" t="str">
        <f>IF($A66="","",IF(OR(Inputs!$B$8&lt;=0,Inputs!$B$8=""),0,IF(AND($A66&gt;=Inputs!$B$8,MOD($A66,Inputs!$B$8)=0),Inputs!$B$7*(1+Inputs!$B$6/100)^$A66,0)))</f>
        <v/>
      </c>
      <c r="H66" s="46" t="str">
        <f t="shared" si="6"/>
        <v/>
      </c>
      <c r="I66" s="46" t="str">
        <f t="shared" si="7"/>
        <v/>
      </c>
      <c r="J66" s="61"/>
      <c r="K66" s="48" t="str">
        <f>IF($A66="","",IFERROR(I66/(Inputs!$B$7*(1+Inputs!$B$6/100)^$A66),"-"))</f>
        <v/>
      </c>
      <c r="L66" s="43" t="e">
        <f t="shared" si="8"/>
        <v>#N/A</v>
      </c>
      <c r="M66" s="43" t="e">
        <f t="shared" si="9"/>
        <v>#N/A</v>
      </c>
      <c r="N66" s="44"/>
      <c r="O66" s="44"/>
      <c r="P66" s="44"/>
      <c r="Q66" s="44"/>
      <c r="R66" s="44"/>
      <c r="S66" s="44"/>
      <c r="T66" s="44"/>
      <c r="U66" s="44"/>
      <c r="V66" s="44"/>
      <c r="W66" s="44"/>
      <c r="X66" s="44"/>
      <c r="Y66" s="44"/>
      <c r="Z66" s="44"/>
      <c r="AA66" s="44"/>
      <c r="AB66" s="44"/>
      <c r="AC66" s="44"/>
    </row>
    <row r="67" spans="1:29" ht="15.75" customHeight="1" x14ac:dyDescent="0.25">
      <c r="A67" s="39" t="str">
        <f>IF(ROW()-2&lt;=Inputs!$B$3+1,ROW()-2,"")</f>
        <v/>
      </c>
      <c r="B67" s="39" t="str">
        <f>IF($A67="","",Inputs!$B$2+$A67-1)</f>
        <v/>
      </c>
      <c r="C67" s="40" t="str">
        <f>IF($A67="","",IF($A67=1,Inputs!$B$9,I66))</f>
        <v/>
      </c>
      <c r="D67" s="40" t="str">
        <f>IF($A67="","",Inputs!$B$4*12*(1+Inputs!$B$10/100)^($A67-1))</f>
        <v/>
      </c>
      <c r="E67" s="40" t="str">
        <f t="shared" ref="E67:E98" si="10">IF($A67="","",D67/12)</f>
        <v/>
      </c>
      <c r="F67" s="40" t="str">
        <f>IF($A67="","",C67*(Inputs!$B$5/100))</f>
        <v/>
      </c>
      <c r="G67" s="40" t="str">
        <f>IF($A67="","",IF(OR(Inputs!$B$8&lt;=0,Inputs!$B$8=""),0,IF(AND($A67&gt;=Inputs!$B$8,MOD($A67,Inputs!$B$8)=0),Inputs!$B$7*(1+Inputs!$B$6/100)^$A67,0)))</f>
        <v/>
      </c>
      <c r="H67" s="40" t="str">
        <f t="shared" ref="H67:H98" si="11">IF($A67="","",G67)</f>
        <v/>
      </c>
      <c r="I67" s="40" t="str">
        <f t="shared" ref="I67:I98" si="12">IF($A67="","",C67+D67+F67-H67)</f>
        <v/>
      </c>
      <c r="J67" s="60"/>
      <c r="K67" s="42" t="str">
        <f>IF($A67="","",IFERROR(I67/(Inputs!$B$7*(1+Inputs!$B$6/100)^$A67),"-"))</f>
        <v/>
      </c>
      <c r="L67" s="43" t="e">
        <f t="shared" ref="L67:L103" si="13">IFERROR(IF($A67="",NA(),IFERROR(VALUE(B67),NA())),NA())</f>
        <v>#N/A</v>
      </c>
      <c r="M67" s="43" t="e">
        <f t="shared" ref="M67:M103" si="14">IF($A67="",NA(),I67)</f>
        <v>#N/A</v>
      </c>
      <c r="N67" s="44"/>
      <c r="O67" s="44"/>
      <c r="P67" s="44"/>
      <c r="Q67" s="44"/>
      <c r="R67" s="44"/>
      <c r="S67" s="44"/>
      <c r="T67" s="44"/>
      <c r="U67" s="44"/>
      <c r="V67" s="44"/>
      <c r="W67" s="44"/>
      <c r="X67" s="44"/>
      <c r="Y67" s="44"/>
      <c r="Z67" s="44"/>
      <c r="AA67" s="44"/>
      <c r="AB67" s="44"/>
      <c r="AC67" s="44"/>
    </row>
    <row r="68" spans="1:29" ht="15.75" customHeight="1" x14ac:dyDescent="0.25">
      <c r="A68" s="45" t="str">
        <f>IF(ROW()-2&lt;=Inputs!$B$3+1,ROW()-2,"")</f>
        <v/>
      </c>
      <c r="B68" s="45" t="str">
        <f>IF($A68="","",Inputs!$B$2+$A68-1)</f>
        <v/>
      </c>
      <c r="C68" s="46" t="str">
        <f>IF($A68="","",IF($A68=1,Inputs!$B$9,I67))</f>
        <v/>
      </c>
      <c r="D68" s="46" t="str">
        <f>IF($A68="","",Inputs!$B$4*12*(1+Inputs!$B$10/100)^($A68-1))</f>
        <v/>
      </c>
      <c r="E68" s="46" t="str">
        <f t="shared" si="10"/>
        <v/>
      </c>
      <c r="F68" s="46" t="str">
        <f>IF($A68="","",C68*(Inputs!$B$5/100))</f>
        <v/>
      </c>
      <c r="G68" s="46" t="str">
        <f>IF($A68="","",IF(OR(Inputs!$B$8&lt;=0,Inputs!$B$8=""),0,IF(AND($A68&gt;=Inputs!$B$8,MOD($A68,Inputs!$B$8)=0),Inputs!$B$7*(1+Inputs!$B$6/100)^$A68,0)))</f>
        <v/>
      </c>
      <c r="H68" s="46" t="str">
        <f t="shared" si="11"/>
        <v/>
      </c>
      <c r="I68" s="46" t="str">
        <f t="shared" si="12"/>
        <v/>
      </c>
      <c r="J68" s="61"/>
      <c r="K68" s="48" t="str">
        <f>IF($A68="","",IFERROR(I68/(Inputs!$B$7*(1+Inputs!$B$6/100)^$A68),"-"))</f>
        <v/>
      </c>
      <c r="L68" s="43" t="e">
        <f t="shared" si="13"/>
        <v>#N/A</v>
      </c>
      <c r="M68" s="43" t="e">
        <f t="shared" si="14"/>
        <v>#N/A</v>
      </c>
      <c r="N68" s="44"/>
      <c r="O68" s="44"/>
      <c r="P68" s="44"/>
      <c r="Q68" s="44"/>
      <c r="R68" s="44"/>
      <c r="S68" s="44"/>
      <c r="T68" s="44"/>
      <c r="U68" s="44"/>
      <c r="V68" s="44"/>
      <c r="W68" s="44"/>
      <c r="X68" s="44"/>
      <c r="Y68" s="44"/>
      <c r="Z68" s="44"/>
      <c r="AA68" s="44"/>
      <c r="AB68" s="44"/>
      <c r="AC68" s="44"/>
    </row>
    <row r="69" spans="1:29" ht="15.75" customHeight="1" x14ac:dyDescent="0.25">
      <c r="A69" s="39" t="str">
        <f>IF(ROW()-2&lt;=Inputs!$B$3+1,ROW()-2,"")</f>
        <v/>
      </c>
      <c r="B69" s="39" t="str">
        <f>IF($A69="","",Inputs!$B$2+$A69-1)</f>
        <v/>
      </c>
      <c r="C69" s="40" t="str">
        <f>IF($A69="","",IF($A69=1,Inputs!$B$9,I68))</f>
        <v/>
      </c>
      <c r="D69" s="40" t="str">
        <f>IF($A69="","",Inputs!$B$4*12*(1+Inputs!$B$10/100)^($A69-1))</f>
        <v/>
      </c>
      <c r="E69" s="40" t="str">
        <f t="shared" si="10"/>
        <v/>
      </c>
      <c r="F69" s="40" t="str">
        <f>IF($A69="","",C69*(Inputs!$B$5/100))</f>
        <v/>
      </c>
      <c r="G69" s="40" t="str">
        <f>IF($A69="","",IF(OR(Inputs!$B$8&lt;=0,Inputs!$B$8=""),0,IF(AND($A69&gt;=Inputs!$B$8,MOD($A69,Inputs!$B$8)=0),Inputs!$B$7*(1+Inputs!$B$6/100)^$A69,0)))</f>
        <v/>
      </c>
      <c r="H69" s="40" t="str">
        <f t="shared" si="11"/>
        <v/>
      </c>
      <c r="I69" s="40" t="str">
        <f t="shared" si="12"/>
        <v/>
      </c>
      <c r="J69" s="60"/>
      <c r="K69" s="42" t="str">
        <f>IF($A69="","",IFERROR(I69/(Inputs!$B$7*(1+Inputs!$B$6/100)^$A69),"-"))</f>
        <v/>
      </c>
      <c r="L69" s="43" t="e">
        <f t="shared" si="13"/>
        <v>#N/A</v>
      </c>
      <c r="M69" s="43" t="e">
        <f t="shared" si="14"/>
        <v>#N/A</v>
      </c>
      <c r="N69" s="44"/>
      <c r="O69" s="44"/>
      <c r="P69" s="44"/>
      <c r="Q69" s="44"/>
      <c r="R69" s="44"/>
      <c r="S69" s="44"/>
      <c r="T69" s="44"/>
      <c r="U69" s="44"/>
      <c r="V69" s="44"/>
      <c r="W69" s="44"/>
      <c r="X69" s="44"/>
      <c r="Y69" s="44"/>
      <c r="Z69" s="44"/>
      <c r="AA69" s="44"/>
      <c r="AB69" s="44"/>
      <c r="AC69" s="44"/>
    </row>
    <row r="70" spans="1:29" ht="15.75" customHeight="1" x14ac:dyDescent="0.25">
      <c r="A70" s="45" t="str">
        <f>IF(ROW()-2&lt;=Inputs!$B$3+1,ROW()-2,"")</f>
        <v/>
      </c>
      <c r="B70" s="45" t="str">
        <f>IF($A70="","",Inputs!$B$2+$A70-1)</f>
        <v/>
      </c>
      <c r="C70" s="46" t="str">
        <f>IF($A70="","",IF($A70=1,Inputs!$B$9,I69))</f>
        <v/>
      </c>
      <c r="D70" s="46" t="str">
        <f>IF($A70="","",Inputs!$B$4*12*(1+Inputs!$B$10/100)^($A70-1))</f>
        <v/>
      </c>
      <c r="E70" s="46" t="str">
        <f t="shared" si="10"/>
        <v/>
      </c>
      <c r="F70" s="46" t="str">
        <f>IF($A70="","",C70*(Inputs!$B$5/100))</f>
        <v/>
      </c>
      <c r="G70" s="46" t="str">
        <f>IF($A70="","",IF(OR(Inputs!$B$8&lt;=0,Inputs!$B$8=""),0,IF(AND($A70&gt;=Inputs!$B$8,MOD($A70,Inputs!$B$8)=0),Inputs!$B$7*(1+Inputs!$B$6/100)^$A70,0)))</f>
        <v/>
      </c>
      <c r="H70" s="46" t="str">
        <f t="shared" si="11"/>
        <v/>
      </c>
      <c r="I70" s="46" t="str">
        <f t="shared" si="12"/>
        <v/>
      </c>
      <c r="J70" s="61"/>
      <c r="K70" s="48" t="str">
        <f>IF($A70="","",IFERROR(I70/(Inputs!$B$7*(1+Inputs!$B$6/100)^$A70),"-"))</f>
        <v/>
      </c>
      <c r="L70" s="43" t="e">
        <f t="shared" si="13"/>
        <v>#N/A</v>
      </c>
      <c r="M70" s="43" t="e">
        <f t="shared" si="14"/>
        <v>#N/A</v>
      </c>
      <c r="N70" s="44"/>
      <c r="O70" s="44"/>
      <c r="P70" s="44"/>
      <c r="Q70" s="44"/>
      <c r="R70" s="44"/>
      <c r="S70" s="44"/>
      <c r="T70" s="44"/>
      <c r="U70" s="44"/>
      <c r="V70" s="44"/>
      <c r="W70" s="44"/>
      <c r="X70" s="44"/>
      <c r="Y70" s="44"/>
      <c r="Z70" s="44"/>
      <c r="AA70" s="44"/>
      <c r="AB70" s="44"/>
      <c r="AC70" s="44"/>
    </row>
    <row r="71" spans="1:29" ht="15.75" customHeight="1" x14ac:dyDescent="0.25">
      <c r="A71" s="39" t="str">
        <f>IF(ROW()-2&lt;=Inputs!$B$3+1,ROW()-2,"")</f>
        <v/>
      </c>
      <c r="B71" s="39" t="str">
        <f>IF($A71="","",Inputs!$B$2+$A71-1)</f>
        <v/>
      </c>
      <c r="C71" s="40" t="str">
        <f>IF($A71="","",IF($A71=1,Inputs!$B$9,I70))</f>
        <v/>
      </c>
      <c r="D71" s="40" t="str">
        <f>IF($A71="","",Inputs!$B$4*12*(1+Inputs!$B$10/100)^($A71-1))</f>
        <v/>
      </c>
      <c r="E71" s="40" t="str">
        <f t="shared" si="10"/>
        <v/>
      </c>
      <c r="F71" s="40" t="str">
        <f>IF($A71="","",C71*(Inputs!$B$5/100))</f>
        <v/>
      </c>
      <c r="G71" s="40" t="str">
        <f>IF($A71="","",IF(OR(Inputs!$B$8&lt;=0,Inputs!$B$8=""),0,IF(AND($A71&gt;=Inputs!$B$8,MOD($A71,Inputs!$B$8)=0),Inputs!$B$7*(1+Inputs!$B$6/100)^$A71,0)))</f>
        <v/>
      </c>
      <c r="H71" s="40" t="str">
        <f t="shared" si="11"/>
        <v/>
      </c>
      <c r="I71" s="40" t="str">
        <f t="shared" si="12"/>
        <v/>
      </c>
      <c r="J71" s="60"/>
      <c r="K71" s="42" t="str">
        <f>IF($A71="","",IFERROR(I71/(Inputs!$B$7*(1+Inputs!$B$6/100)^$A71),"-"))</f>
        <v/>
      </c>
      <c r="L71" s="43" t="e">
        <f t="shared" si="13"/>
        <v>#N/A</v>
      </c>
      <c r="M71" s="43" t="e">
        <f t="shared" si="14"/>
        <v>#N/A</v>
      </c>
      <c r="N71" s="44"/>
      <c r="O71" s="44"/>
      <c r="P71" s="44"/>
      <c r="Q71" s="44"/>
      <c r="R71" s="44"/>
      <c r="S71" s="44"/>
      <c r="T71" s="44"/>
      <c r="U71" s="44"/>
      <c r="V71" s="44"/>
      <c r="W71" s="44"/>
      <c r="X71" s="44"/>
      <c r="Y71" s="44"/>
      <c r="Z71" s="44"/>
      <c r="AA71" s="44"/>
      <c r="AB71" s="44"/>
      <c r="AC71" s="44"/>
    </row>
    <row r="72" spans="1:29" ht="15.75" customHeight="1" x14ac:dyDescent="0.25">
      <c r="A72" s="45" t="str">
        <f>IF(ROW()-2&lt;=Inputs!$B$3+1,ROW()-2,"")</f>
        <v/>
      </c>
      <c r="B72" s="45" t="str">
        <f>IF($A72="","",Inputs!$B$2+$A72-1)</f>
        <v/>
      </c>
      <c r="C72" s="46" t="str">
        <f>IF($A72="","",IF($A72=1,Inputs!$B$9,I71))</f>
        <v/>
      </c>
      <c r="D72" s="46" t="str">
        <f>IF($A72="","",Inputs!$B$4*12*(1+Inputs!$B$10/100)^($A72-1))</f>
        <v/>
      </c>
      <c r="E72" s="46" t="str">
        <f t="shared" si="10"/>
        <v/>
      </c>
      <c r="F72" s="46" t="str">
        <f>IF($A72="","",C72*(Inputs!$B$5/100))</f>
        <v/>
      </c>
      <c r="G72" s="46" t="str">
        <f>IF($A72="","",IF(OR(Inputs!$B$8&lt;=0,Inputs!$B$8=""),0,IF(AND($A72&gt;=Inputs!$B$8,MOD($A72,Inputs!$B$8)=0),Inputs!$B$7*(1+Inputs!$B$6/100)^$A72,0)))</f>
        <v/>
      </c>
      <c r="H72" s="46" t="str">
        <f t="shared" si="11"/>
        <v/>
      </c>
      <c r="I72" s="46" t="str">
        <f t="shared" si="12"/>
        <v/>
      </c>
      <c r="J72" s="61"/>
      <c r="K72" s="48" t="str">
        <f>IF($A72="","",IFERROR(I72/(Inputs!$B$7*(1+Inputs!$B$6/100)^$A72),"-"))</f>
        <v/>
      </c>
      <c r="L72" s="43" t="e">
        <f t="shared" si="13"/>
        <v>#N/A</v>
      </c>
      <c r="M72" s="43" t="e">
        <f t="shared" si="14"/>
        <v>#N/A</v>
      </c>
      <c r="N72" s="44"/>
      <c r="O72" s="44"/>
      <c r="P72" s="44"/>
      <c r="Q72" s="44"/>
      <c r="R72" s="44"/>
      <c r="S72" s="44"/>
      <c r="T72" s="44"/>
      <c r="U72" s="44"/>
      <c r="V72" s="44"/>
      <c r="W72" s="44"/>
      <c r="X72" s="44"/>
      <c r="Y72" s="44"/>
      <c r="Z72" s="44"/>
      <c r="AA72" s="44"/>
      <c r="AB72" s="44"/>
      <c r="AC72" s="44"/>
    </row>
    <row r="73" spans="1:29" ht="15.75" customHeight="1" x14ac:dyDescent="0.25">
      <c r="A73" s="39" t="str">
        <f>IF(ROW()-2&lt;=Inputs!$B$3+1,ROW()-2,"")</f>
        <v/>
      </c>
      <c r="B73" s="39" t="str">
        <f>IF($A73="","",Inputs!$B$2+$A73-1)</f>
        <v/>
      </c>
      <c r="C73" s="40" t="str">
        <f>IF($A73="","",IF($A73=1,Inputs!$B$9,I72))</f>
        <v/>
      </c>
      <c r="D73" s="40" t="str">
        <f>IF($A73="","",Inputs!$B$4*12*(1+Inputs!$B$10/100)^($A73-1))</f>
        <v/>
      </c>
      <c r="E73" s="40" t="str">
        <f t="shared" si="10"/>
        <v/>
      </c>
      <c r="F73" s="40" t="str">
        <f>IF($A73="","",C73*(Inputs!$B$5/100))</f>
        <v/>
      </c>
      <c r="G73" s="40" t="str">
        <f>IF($A73="","",IF(OR(Inputs!$B$8&lt;=0,Inputs!$B$8=""),0,IF(AND($A73&gt;=Inputs!$B$8,MOD($A73,Inputs!$B$8)=0),Inputs!$B$7*(1+Inputs!$B$6/100)^$A73,0)))</f>
        <v/>
      </c>
      <c r="H73" s="40" t="str">
        <f t="shared" si="11"/>
        <v/>
      </c>
      <c r="I73" s="40" t="str">
        <f t="shared" si="12"/>
        <v/>
      </c>
      <c r="J73" s="60"/>
      <c r="K73" s="42" t="str">
        <f>IF($A73="","",IFERROR(I73/(Inputs!$B$7*(1+Inputs!$B$6/100)^$A73),"-"))</f>
        <v/>
      </c>
      <c r="L73" s="43" t="e">
        <f t="shared" si="13"/>
        <v>#N/A</v>
      </c>
      <c r="M73" s="43" t="e">
        <f t="shared" si="14"/>
        <v>#N/A</v>
      </c>
      <c r="N73" s="44"/>
      <c r="O73" s="44"/>
      <c r="P73" s="44"/>
      <c r="Q73" s="44"/>
      <c r="R73" s="44"/>
      <c r="S73" s="44"/>
      <c r="T73" s="44"/>
      <c r="U73" s="44"/>
      <c r="V73" s="44"/>
      <c r="W73" s="44"/>
      <c r="X73" s="44"/>
      <c r="Y73" s="44"/>
      <c r="Z73" s="44"/>
      <c r="AA73" s="44"/>
      <c r="AB73" s="44"/>
      <c r="AC73" s="44"/>
    </row>
    <row r="74" spans="1:29" ht="15.75" customHeight="1" x14ac:dyDescent="0.25">
      <c r="A74" s="45" t="str">
        <f>IF(ROW()-2&lt;=Inputs!$B$3+1,ROW()-2,"")</f>
        <v/>
      </c>
      <c r="B74" s="45" t="str">
        <f>IF($A74="","",Inputs!$B$2+$A74-1)</f>
        <v/>
      </c>
      <c r="C74" s="46" t="str">
        <f>IF($A74="","",IF($A74=1,Inputs!$B$9,I73))</f>
        <v/>
      </c>
      <c r="D74" s="46" t="str">
        <f>IF($A74="","",Inputs!$B$4*12*(1+Inputs!$B$10/100)^($A74-1))</f>
        <v/>
      </c>
      <c r="E74" s="46" t="str">
        <f t="shared" si="10"/>
        <v/>
      </c>
      <c r="F74" s="46" t="str">
        <f>IF($A74="","",C74*(Inputs!$B$5/100))</f>
        <v/>
      </c>
      <c r="G74" s="46" t="str">
        <f>IF($A74="","",IF(OR(Inputs!$B$8&lt;=0,Inputs!$B$8=""),0,IF(AND($A74&gt;=Inputs!$B$8,MOD($A74,Inputs!$B$8)=0),Inputs!$B$7*(1+Inputs!$B$6/100)^$A74,0)))</f>
        <v/>
      </c>
      <c r="H74" s="46" t="str">
        <f t="shared" si="11"/>
        <v/>
      </c>
      <c r="I74" s="46" t="str">
        <f t="shared" si="12"/>
        <v/>
      </c>
      <c r="J74" s="61"/>
      <c r="K74" s="48" t="str">
        <f>IF($A74="","",IFERROR(I74/(Inputs!$B$7*(1+Inputs!$B$6/100)^$A74),"-"))</f>
        <v/>
      </c>
      <c r="L74" s="43" t="e">
        <f t="shared" si="13"/>
        <v>#N/A</v>
      </c>
      <c r="M74" s="43" t="e">
        <f t="shared" si="14"/>
        <v>#N/A</v>
      </c>
      <c r="N74" s="44"/>
      <c r="O74" s="44"/>
      <c r="P74" s="44"/>
      <c r="Q74" s="44"/>
      <c r="R74" s="44"/>
      <c r="S74" s="44"/>
      <c r="T74" s="44"/>
      <c r="U74" s="44"/>
      <c r="V74" s="44"/>
      <c r="W74" s="44"/>
      <c r="X74" s="44"/>
      <c r="Y74" s="44"/>
      <c r="Z74" s="44"/>
      <c r="AA74" s="44"/>
      <c r="AB74" s="44"/>
      <c r="AC74" s="44"/>
    </row>
    <row r="75" spans="1:29" ht="15.75" customHeight="1" x14ac:dyDescent="0.25">
      <c r="A75" s="39" t="str">
        <f>IF(ROW()-2&lt;=Inputs!$B$3+1,ROW()-2,"")</f>
        <v/>
      </c>
      <c r="B75" s="39" t="str">
        <f>IF($A75="","",Inputs!$B$2+$A75-1)</f>
        <v/>
      </c>
      <c r="C75" s="40" t="str">
        <f>IF($A75="","",IF($A75=1,Inputs!$B$9,I74))</f>
        <v/>
      </c>
      <c r="D75" s="40" t="str">
        <f>IF($A75="","",Inputs!$B$4*12*(1+Inputs!$B$10/100)^($A75-1))</f>
        <v/>
      </c>
      <c r="E75" s="40" t="str">
        <f t="shared" si="10"/>
        <v/>
      </c>
      <c r="F75" s="40" t="str">
        <f>IF($A75="","",C75*(Inputs!$B$5/100))</f>
        <v/>
      </c>
      <c r="G75" s="40" t="str">
        <f>IF($A75="","",IF(OR(Inputs!$B$8&lt;=0,Inputs!$B$8=""),0,IF(AND($A75&gt;=Inputs!$B$8,MOD($A75,Inputs!$B$8)=0),Inputs!$B$7*(1+Inputs!$B$6/100)^$A75,0)))</f>
        <v/>
      </c>
      <c r="H75" s="40" t="str">
        <f t="shared" si="11"/>
        <v/>
      </c>
      <c r="I75" s="40" t="str">
        <f t="shared" si="12"/>
        <v/>
      </c>
      <c r="J75" s="60"/>
      <c r="K75" s="42" t="str">
        <f>IF($A75="","",IFERROR(I75/(Inputs!$B$7*(1+Inputs!$B$6/100)^$A75),"-"))</f>
        <v/>
      </c>
      <c r="L75" s="43" t="e">
        <f t="shared" si="13"/>
        <v>#N/A</v>
      </c>
      <c r="M75" s="43" t="e">
        <f t="shared" si="14"/>
        <v>#N/A</v>
      </c>
      <c r="N75" s="44"/>
      <c r="O75" s="44"/>
      <c r="P75" s="44"/>
      <c r="Q75" s="44"/>
      <c r="R75" s="44"/>
      <c r="S75" s="44"/>
      <c r="T75" s="44"/>
      <c r="U75" s="44"/>
      <c r="V75" s="44"/>
      <c r="W75" s="44"/>
      <c r="X75" s="44"/>
      <c r="Y75" s="44"/>
      <c r="Z75" s="44"/>
      <c r="AA75" s="44"/>
      <c r="AB75" s="44"/>
      <c r="AC75" s="44"/>
    </row>
    <row r="76" spans="1:29" ht="15.75" customHeight="1" x14ac:dyDescent="0.25">
      <c r="A76" s="45" t="str">
        <f>IF(ROW()-2&lt;=Inputs!$B$3+1,ROW()-2,"")</f>
        <v/>
      </c>
      <c r="B76" s="45" t="str">
        <f>IF($A76="","",Inputs!$B$2+$A76-1)</f>
        <v/>
      </c>
      <c r="C76" s="46" t="str">
        <f>IF($A76="","",IF($A76=1,Inputs!$B$9,I75))</f>
        <v/>
      </c>
      <c r="D76" s="46" t="str">
        <f>IF($A76="","",Inputs!$B$4*12*(1+Inputs!$B$10/100)^($A76-1))</f>
        <v/>
      </c>
      <c r="E76" s="46" t="str">
        <f t="shared" si="10"/>
        <v/>
      </c>
      <c r="F76" s="46" t="str">
        <f>IF($A76="","",C76*(Inputs!$B$5/100))</f>
        <v/>
      </c>
      <c r="G76" s="46" t="str">
        <f>IF($A76="","",IF(OR(Inputs!$B$8&lt;=0,Inputs!$B$8=""),0,IF(AND($A76&gt;=Inputs!$B$8,MOD($A76,Inputs!$B$8)=0),Inputs!$B$7*(1+Inputs!$B$6/100)^$A76,0)))</f>
        <v/>
      </c>
      <c r="H76" s="46" t="str">
        <f t="shared" si="11"/>
        <v/>
      </c>
      <c r="I76" s="46" t="str">
        <f t="shared" si="12"/>
        <v/>
      </c>
      <c r="J76" s="61"/>
      <c r="K76" s="48" t="str">
        <f>IF($A76="","",IFERROR(I76/(Inputs!$B$7*(1+Inputs!$B$6/100)^$A76),"-"))</f>
        <v/>
      </c>
      <c r="L76" s="43" t="e">
        <f t="shared" si="13"/>
        <v>#N/A</v>
      </c>
      <c r="M76" s="43" t="e">
        <f t="shared" si="14"/>
        <v>#N/A</v>
      </c>
      <c r="N76" s="44"/>
      <c r="O76" s="44"/>
      <c r="P76" s="44"/>
      <c r="Q76" s="44"/>
      <c r="R76" s="44"/>
      <c r="S76" s="44"/>
      <c r="T76" s="44"/>
      <c r="U76" s="44"/>
      <c r="V76" s="44"/>
      <c r="W76" s="44"/>
      <c r="X76" s="44"/>
      <c r="Y76" s="44"/>
      <c r="Z76" s="44"/>
      <c r="AA76" s="44"/>
      <c r="AB76" s="44"/>
      <c r="AC76" s="44"/>
    </row>
    <row r="77" spans="1:29" ht="15.75" customHeight="1" x14ac:dyDescent="0.25">
      <c r="A77" s="39" t="str">
        <f>IF(ROW()-2&lt;=Inputs!$B$3+1,ROW()-2,"")</f>
        <v/>
      </c>
      <c r="B77" s="39" t="str">
        <f>IF($A77="","",Inputs!$B$2+$A77-1)</f>
        <v/>
      </c>
      <c r="C77" s="40" t="str">
        <f>IF($A77="","",IF($A77=1,Inputs!$B$9,I76))</f>
        <v/>
      </c>
      <c r="D77" s="40" t="str">
        <f>IF($A77="","",Inputs!$B$4*12*(1+Inputs!$B$10/100)^($A77-1))</f>
        <v/>
      </c>
      <c r="E77" s="40" t="str">
        <f t="shared" si="10"/>
        <v/>
      </c>
      <c r="F77" s="40" t="str">
        <f>IF($A77="","",C77*(Inputs!$B$5/100))</f>
        <v/>
      </c>
      <c r="G77" s="40" t="str">
        <f>IF($A77="","",IF(OR(Inputs!$B$8&lt;=0,Inputs!$B$8=""),0,IF(AND($A77&gt;=Inputs!$B$8,MOD($A77,Inputs!$B$8)=0),Inputs!$B$7*(1+Inputs!$B$6/100)^$A77,0)))</f>
        <v/>
      </c>
      <c r="H77" s="40" t="str">
        <f t="shared" si="11"/>
        <v/>
      </c>
      <c r="I77" s="40" t="str">
        <f t="shared" si="12"/>
        <v/>
      </c>
      <c r="J77" s="60"/>
      <c r="K77" s="42" t="str">
        <f>IF($A77="","",IFERROR(I77/(Inputs!$B$7*(1+Inputs!$B$6/100)^$A77),"-"))</f>
        <v/>
      </c>
      <c r="L77" s="43" t="e">
        <f t="shared" si="13"/>
        <v>#N/A</v>
      </c>
      <c r="M77" s="43" t="e">
        <f t="shared" si="14"/>
        <v>#N/A</v>
      </c>
      <c r="N77" s="44"/>
      <c r="O77" s="44"/>
      <c r="P77" s="44"/>
      <c r="Q77" s="44"/>
      <c r="R77" s="44"/>
      <c r="S77" s="44"/>
      <c r="T77" s="44"/>
      <c r="U77" s="44"/>
      <c r="V77" s="44"/>
      <c r="W77" s="44"/>
      <c r="X77" s="44"/>
      <c r="Y77" s="44"/>
      <c r="Z77" s="44"/>
      <c r="AA77" s="44"/>
      <c r="AB77" s="44"/>
      <c r="AC77" s="44"/>
    </row>
    <row r="78" spans="1:29" ht="15.75" customHeight="1" x14ac:dyDescent="0.25">
      <c r="A78" s="45" t="str">
        <f>IF(ROW()-2&lt;=Inputs!$B$3+1,ROW()-2,"")</f>
        <v/>
      </c>
      <c r="B78" s="45" t="str">
        <f>IF($A78="","",Inputs!$B$2+$A78-1)</f>
        <v/>
      </c>
      <c r="C78" s="46" t="str">
        <f>IF($A78="","",IF($A78=1,Inputs!$B$9,I77))</f>
        <v/>
      </c>
      <c r="D78" s="46" t="str">
        <f>IF($A78="","",Inputs!$B$4*12*(1+Inputs!$B$10/100)^($A78-1))</f>
        <v/>
      </c>
      <c r="E78" s="46" t="str">
        <f t="shared" si="10"/>
        <v/>
      </c>
      <c r="F78" s="46" t="str">
        <f>IF($A78="","",C78*(Inputs!$B$5/100))</f>
        <v/>
      </c>
      <c r="G78" s="46" t="str">
        <f>IF($A78="","",IF(OR(Inputs!$B$8&lt;=0,Inputs!$B$8=""),0,IF(AND($A78&gt;=Inputs!$B$8,MOD($A78,Inputs!$B$8)=0),Inputs!$B$7*(1+Inputs!$B$6/100)^$A78,0)))</f>
        <v/>
      </c>
      <c r="H78" s="46" t="str">
        <f t="shared" si="11"/>
        <v/>
      </c>
      <c r="I78" s="46" t="str">
        <f t="shared" si="12"/>
        <v/>
      </c>
      <c r="J78" s="61"/>
      <c r="K78" s="48" t="str">
        <f>IF($A78="","",IFERROR(I78/(Inputs!$B$7*(1+Inputs!$B$6/100)^$A78),"-"))</f>
        <v/>
      </c>
      <c r="L78" s="43" t="e">
        <f t="shared" si="13"/>
        <v>#N/A</v>
      </c>
      <c r="M78" s="43" t="e">
        <f t="shared" si="14"/>
        <v>#N/A</v>
      </c>
      <c r="N78" s="44"/>
      <c r="O78" s="44"/>
      <c r="P78" s="44"/>
      <c r="Q78" s="44"/>
      <c r="R78" s="44"/>
      <c r="S78" s="44"/>
      <c r="T78" s="44"/>
      <c r="U78" s="44"/>
      <c r="V78" s="44"/>
      <c r="W78" s="44"/>
      <c r="X78" s="44"/>
      <c r="Y78" s="44"/>
      <c r="Z78" s="44"/>
      <c r="AA78" s="44"/>
      <c r="AB78" s="44"/>
      <c r="AC78" s="44"/>
    </row>
    <row r="79" spans="1:29" ht="15.75" customHeight="1" x14ac:dyDescent="0.25">
      <c r="A79" s="39" t="str">
        <f>IF(ROW()-2&lt;=Inputs!$B$3+1,ROW()-2,"")</f>
        <v/>
      </c>
      <c r="B79" s="39" t="str">
        <f>IF($A79="","",Inputs!$B$2+$A79-1)</f>
        <v/>
      </c>
      <c r="C79" s="40" t="str">
        <f>IF($A79="","",IF($A79=1,Inputs!$B$9,I78))</f>
        <v/>
      </c>
      <c r="D79" s="40" t="str">
        <f>IF($A79="","",Inputs!$B$4*12*(1+Inputs!$B$10/100)^($A79-1))</f>
        <v/>
      </c>
      <c r="E79" s="40" t="str">
        <f t="shared" si="10"/>
        <v/>
      </c>
      <c r="F79" s="40" t="str">
        <f>IF($A79="","",C79*(Inputs!$B$5/100))</f>
        <v/>
      </c>
      <c r="G79" s="40" t="str">
        <f>IF($A79="","",IF(OR(Inputs!$B$8&lt;=0,Inputs!$B$8=""),0,IF(AND($A79&gt;=Inputs!$B$8,MOD($A79,Inputs!$B$8)=0),Inputs!$B$7*(1+Inputs!$B$6/100)^$A79,0)))</f>
        <v/>
      </c>
      <c r="H79" s="40" t="str">
        <f t="shared" si="11"/>
        <v/>
      </c>
      <c r="I79" s="40" t="str">
        <f t="shared" si="12"/>
        <v/>
      </c>
      <c r="J79" s="60"/>
      <c r="K79" s="42" t="str">
        <f>IF($A79="","",IFERROR(I79/(Inputs!$B$7*(1+Inputs!$B$6/100)^$A79),"-"))</f>
        <v/>
      </c>
      <c r="L79" s="43" t="e">
        <f t="shared" si="13"/>
        <v>#N/A</v>
      </c>
      <c r="M79" s="43" t="e">
        <f t="shared" si="14"/>
        <v>#N/A</v>
      </c>
      <c r="N79" s="44"/>
      <c r="O79" s="44"/>
      <c r="P79" s="44"/>
      <c r="Q79" s="44"/>
      <c r="R79" s="44"/>
      <c r="S79" s="44"/>
      <c r="T79" s="44"/>
      <c r="U79" s="44"/>
      <c r="V79" s="44"/>
      <c r="W79" s="44"/>
      <c r="X79" s="44"/>
      <c r="Y79" s="44"/>
      <c r="Z79" s="44"/>
      <c r="AA79" s="44"/>
      <c r="AB79" s="44"/>
      <c r="AC79" s="44"/>
    </row>
    <row r="80" spans="1:29" ht="15.75" customHeight="1" x14ac:dyDescent="0.25">
      <c r="A80" s="45" t="str">
        <f>IF(ROW()-2&lt;=Inputs!$B$3+1,ROW()-2,"")</f>
        <v/>
      </c>
      <c r="B80" s="45" t="str">
        <f>IF($A80="","",Inputs!$B$2+$A80-1)</f>
        <v/>
      </c>
      <c r="C80" s="46" t="str">
        <f>IF($A80="","",IF($A80=1,Inputs!$B$9,I79))</f>
        <v/>
      </c>
      <c r="D80" s="46" t="str">
        <f>IF($A80="","",Inputs!$B$4*12*(1+Inputs!$B$10/100)^($A80-1))</f>
        <v/>
      </c>
      <c r="E80" s="46" t="str">
        <f t="shared" si="10"/>
        <v/>
      </c>
      <c r="F80" s="46" t="str">
        <f>IF($A80="","",C80*(Inputs!$B$5/100))</f>
        <v/>
      </c>
      <c r="G80" s="46" t="str">
        <f>IF($A80="","",IF(OR(Inputs!$B$8&lt;=0,Inputs!$B$8=""),0,IF(AND($A80&gt;=Inputs!$B$8,MOD($A80,Inputs!$B$8)=0),Inputs!$B$7*(1+Inputs!$B$6/100)^$A80,0)))</f>
        <v/>
      </c>
      <c r="H80" s="46" t="str">
        <f t="shared" si="11"/>
        <v/>
      </c>
      <c r="I80" s="46" t="str">
        <f t="shared" si="12"/>
        <v/>
      </c>
      <c r="J80" s="61"/>
      <c r="K80" s="48" t="str">
        <f>IF($A80="","",IFERROR(I80/(Inputs!$B$7*(1+Inputs!$B$6/100)^$A80),"-"))</f>
        <v/>
      </c>
      <c r="L80" s="43" t="e">
        <f t="shared" si="13"/>
        <v>#N/A</v>
      </c>
      <c r="M80" s="43" t="e">
        <f t="shared" si="14"/>
        <v>#N/A</v>
      </c>
      <c r="N80" s="44"/>
      <c r="O80" s="44"/>
      <c r="P80" s="44"/>
      <c r="Q80" s="44"/>
      <c r="R80" s="44"/>
      <c r="S80" s="44"/>
      <c r="T80" s="44"/>
      <c r="U80" s="44"/>
      <c r="V80" s="44"/>
      <c r="W80" s="44"/>
      <c r="X80" s="44"/>
      <c r="Y80" s="44"/>
      <c r="Z80" s="44"/>
      <c r="AA80" s="44"/>
      <c r="AB80" s="44"/>
      <c r="AC80" s="44"/>
    </row>
    <row r="81" spans="1:29" ht="15.75" customHeight="1" x14ac:dyDescent="0.25">
      <c r="A81" s="39" t="str">
        <f>IF(ROW()-2&lt;=Inputs!$B$3+1,ROW()-2,"")</f>
        <v/>
      </c>
      <c r="B81" s="39" t="str">
        <f>IF($A81="","",Inputs!$B$2+$A81-1)</f>
        <v/>
      </c>
      <c r="C81" s="40" t="str">
        <f>IF($A81="","",IF($A81=1,Inputs!$B$9,I80))</f>
        <v/>
      </c>
      <c r="D81" s="40" t="str">
        <f>IF($A81="","",Inputs!$B$4*12*(1+Inputs!$B$10/100)^($A81-1))</f>
        <v/>
      </c>
      <c r="E81" s="40" t="str">
        <f t="shared" si="10"/>
        <v/>
      </c>
      <c r="F81" s="40" t="str">
        <f>IF($A81="","",C81*(Inputs!$B$5/100))</f>
        <v/>
      </c>
      <c r="G81" s="40" t="str">
        <f>IF($A81="","",IF(OR(Inputs!$B$8&lt;=0,Inputs!$B$8=""),0,IF(AND($A81&gt;=Inputs!$B$8,MOD($A81,Inputs!$B$8)=0),Inputs!$B$7*(1+Inputs!$B$6/100)^$A81,0)))</f>
        <v/>
      </c>
      <c r="H81" s="40" t="str">
        <f t="shared" si="11"/>
        <v/>
      </c>
      <c r="I81" s="40" t="str">
        <f t="shared" si="12"/>
        <v/>
      </c>
      <c r="J81" s="60"/>
      <c r="K81" s="42" t="str">
        <f>IF($A81="","",IFERROR(I81/(Inputs!$B$7*(1+Inputs!$B$6/100)^$A81),"-"))</f>
        <v/>
      </c>
      <c r="L81" s="43" t="e">
        <f t="shared" si="13"/>
        <v>#N/A</v>
      </c>
      <c r="M81" s="43" t="e">
        <f t="shared" si="14"/>
        <v>#N/A</v>
      </c>
      <c r="N81" s="44"/>
      <c r="O81" s="44"/>
      <c r="P81" s="44"/>
      <c r="Q81" s="44"/>
      <c r="R81" s="44"/>
      <c r="S81" s="44"/>
      <c r="T81" s="44"/>
      <c r="U81" s="44"/>
      <c r="V81" s="44"/>
      <c r="W81" s="44"/>
      <c r="X81" s="44"/>
      <c r="Y81" s="44"/>
      <c r="Z81" s="44"/>
      <c r="AA81" s="44"/>
      <c r="AB81" s="44"/>
      <c r="AC81" s="44"/>
    </row>
    <row r="82" spans="1:29" ht="15.75" customHeight="1" x14ac:dyDescent="0.25">
      <c r="A82" s="45" t="str">
        <f>IF(ROW()-2&lt;=Inputs!$B$3+1,ROW()-2,"")</f>
        <v/>
      </c>
      <c r="B82" s="45" t="str">
        <f>IF($A82="","",Inputs!$B$2+$A82-1)</f>
        <v/>
      </c>
      <c r="C82" s="46" t="str">
        <f>IF($A82="","",IF($A82=1,Inputs!$B$9,I81))</f>
        <v/>
      </c>
      <c r="D82" s="46" t="str">
        <f>IF($A82="","",Inputs!$B$4*12*(1+Inputs!$B$10/100)^($A82-1))</f>
        <v/>
      </c>
      <c r="E82" s="46" t="str">
        <f t="shared" si="10"/>
        <v/>
      </c>
      <c r="F82" s="46" t="str">
        <f>IF($A82="","",C82*(Inputs!$B$5/100))</f>
        <v/>
      </c>
      <c r="G82" s="46" t="str">
        <f>IF($A82="","",IF(OR(Inputs!$B$8&lt;=0,Inputs!$B$8=""),0,IF(AND($A82&gt;=Inputs!$B$8,MOD($A82,Inputs!$B$8)=0),Inputs!$B$7*(1+Inputs!$B$6/100)^$A82,0)))</f>
        <v/>
      </c>
      <c r="H82" s="46" t="str">
        <f t="shared" si="11"/>
        <v/>
      </c>
      <c r="I82" s="46" t="str">
        <f t="shared" si="12"/>
        <v/>
      </c>
      <c r="J82" s="61"/>
      <c r="K82" s="48" t="str">
        <f>IF($A82="","",IFERROR(I82/(Inputs!$B$7*(1+Inputs!$B$6/100)^$A82),"-"))</f>
        <v/>
      </c>
      <c r="L82" s="43" t="e">
        <f t="shared" si="13"/>
        <v>#N/A</v>
      </c>
      <c r="M82" s="43" t="e">
        <f t="shared" si="14"/>
        <v>#N/A</v>
      </c>
      <c r="N82" s="44"/>
      <c r="O82" s="44"/>
      <c r="P82" s="44"/>
      <c r="Q82" s="44"/>
      <c r="R82" s="44"/>
      <c r="S82" s="44"/>
      <c r="T82" s="44"/>
      <c r="U82" s="44"/>
      <c r="V82" s="44"/>
      <c r="W82" s="44"/>
      <c r="X82" s="44"/>
      <c r="Y82" s="44"/>
      <c r="Z82" s="44"/>
      <c r="AA82" s="44"/>
      <c r="AB82" s="44"/>
      <c r="AC82" s="44"/>
    </row>
    <row r="83" spans="1:29" ht="15.75" customHeight="1" x14ac:dyDescent="0.25">
      <c r="A83" s="39" t="str">
        <f>IF(ROW()-2&lt;=Inputs!$B$3+1,ROW()-2,"")</f>
        <v/>
      </c>
      <c r="B83" s="39" t="str">
        <f>IF($A83="","",Inputs!$B$2+$A83-1)</f>
        <v/>
      </c>
      <c r="C83" s="40" t="str">
        <f>IF($A83="","",IF($A83=1,Inputs!$B$9,I82))</f>
        <v/>
      </c>
      <c r="D83" s="40" t="str">
        <f>IF($A83="","",Inputs!$B$4*12*(1+Inputs!$B$10/100)^($A83-1))</f>
        <v/>
      </c>
      <c r="E83" s="40" t="str">
        <f t="shared" si="10"/>
        <v/>
      </c>
      <c r="F83" s="40" t="str">
        <f>IF($A83="","",C83*(Inputs!$B$5/100))</f>
        <v/>
      </c>
      <c r="G83" s="40" t="str">
        <f>IF($A83="","",IF(OR(Inputs!$B$8&lt;=0,Inputs!$B$8=""),0,IF(AND($A83&gt;=Inputs!$B$8,MOD($A83,Inputs!$B$8)=0),Inputs!$B$7*(1+Inputs!$B$6/100)^$A83,0)))</f>
        <v/>
      </c>
      <c r="H83" s="40" t="str">
        <f t="shared" si="11"/>
        <v/>
      </c>
      <c r="I83" s="40" t="str">
        <f t="shared" si="12"/>
        <v/>
      </c>
      <c r="J83" s="60"/>
      <c r="K83" s="42" t="str">
        <f>IF($A83="","",IFERROR(I83/(Inputs!$B$7*(1+Inputs!$B$6/100)^$A83),"-"))</f>
        <v/>
      </c>
      <c r="L83" s="43" t="e">
        <f t="shared" si="13"/>
        <v>#N/A</v>
      </c>
      <c r="M83" s="43" t="e">
        <f t="shared" si="14"/>
        <v>#N/A</v>
      </c>
      <c r="N83" s="44"/>
      <c r="O83" s="44"/>
      <c r="P83" s="44"/>
      <c r="Q83" s="44"/>
      <c r="R83" s="44"/>
      <c r="S83" s="44"/>
      <c r="T83" s="44"/>
      <c r="U83" s="44"/>
      <c r="V83" s="44"/>
      <c r="W83" s="44"/>
      <c r="X83" s="44"/>
      <c r="Y83" s="44"/>
      <c r="Z83" s="44"/>
      <c r="AA83" s="44"/>
      <c r="AB83" s="44"/>
      <c r="AC83" s="44"/>
    </row>
    <row r="84" spans="1:29" ht="15.75" customHeight="1" x14ac:dyDescent="0.25">
      <c r="A84" s="45" t="str">
        <f>IF(ROW()-2&lt;=Inputs!$B$3+1,ROW()-2,"")</f>
        <v/>
      </c>
      <c r="B84" s="45" t="str">
        <f>IF($A84="","",Inputs!$B$2+$A84-1)</f>
        <v/>
      </c>
      <c r="C84" s="46" t="str">
        <f>IF($A84="","",IF($A84=1,Inputs!$B$9,I83))</f>
        <v/>
      </c>
      <c r="D84" s="46" t="str">
        <f>IF($A84="","",Inputs!$B$4*12*(1+Inputs!$B$10/100)^($A84-1))</f>
        <v/>
      </c>
      <c r="E84" s="46" t="str">
        <f t="shared" si="10"/>
        <v/>
      </c>
      <c r="F84" s="46" t="str">
        <f>IF($A84="","",C84*(Inputs!$B$5/100))</f>
        <v/>
      </c>
      <c r="G84" s="46" t="str">
        <f>IF($A84="","",IF(OR(Inputs!$B$8&lt;=0,Inputs!$B$8=""),0,IF(AND($A84&gt;=Inputs!$B$8,MOD($A84,Inputs!$B$8)=0),Inputs!$B$7*(1+Inputs!$B$6/100)^$A84,0)))</f>
        <v/>
      </c>
      <c r="H84" s="46" t="str">
        <f t="shared" si="11"/>
        <v/>
      </c>
      <c r="I84" s="46" t="str">
        <f t="shared" si="12"/>
        <v/>
      </c>
      <c r="J84" s="61"/>
      <c r="K84" s="48" t="str">
        <f>IF($A84="","",IFERROR(I84/(Inputs!$B$7*(1+Inputs!$B$6/100)^$A84),"-"))</f>
        <v/>
      </c>
      <c r="L84" s="43" t="e">
        <f t="shared" si="13"/>
        <v>#N/A</v>
      </c>
      <c r="M84" s="43" t="e">
        <f t="shared" si="14"/>
        <v>#N/A</v>
      </c>
      <c r="N84" s="44"/>
      <c r="O84" s="44"/>
      <c r="P84" s="44"/>
      <c r="Q84" s="44"/>
      <c r="R84" s="44"/>
      <c r="S84" s="44"/>
      <c r="T84" s="44"/>
      <c r="U84" s="44"/>
      <c r="V84" s="44"/>
      <c r="W84" s="44"/>
      <c r="X84" s="44"/>
      <c r="Y84" s="44"/>
      <c r="Z84" s="44"/>
      <c r="AA84" s="44"/>
      <c r="AB84" s="44"/>
      <c r="AC84" s="44"/>
    </row>
    <row r="85" spans="1:29" ht="15.75" customHeight="1" x14ac:dyDescent="0.25">
      <c r="A85" s="39" t="str">
        <f>IF(ROW()-2&lt;=Inputs!$B$3+1,ROW()-2,"")</f>
        <v/>
      </c>
      <c r="B85" s="39" t="str">
        <f>IF($A85="","",Inputs!$B$2+$A85-1)</f>
        <v/>
      </c>
      <c r="C85" s="40" t="str">
        <f>IF($A85="","",IF($A85=1,Inputs!$B$9,I84))</f>
        <v/>
      </c>
      <c r="D85" s="40" t="str">
        <f>IF($A85="","",Inputs!$B$4*12*(1+Inputs!$B$10/100)^($A85-1))</f>
        <v/>
      </c>
      <c r="E85" s="40" t="str">
        <f t="shared" si="10"/>
        <v/>
      </c>
      <c r="F85" s="40" t="str">
        <f>IF($A85="","",C85*(Inputs!$B$5/100))</f>
        <v/>
      </c>
      <c r="G85" s="40" t="str">
        <f>IF($A85="","",IF(OR(Inputs!$B$8&lt;=0,Inputs!$B$8=""),0,IF(AND($A85&gt;=Inputs!$B$8,MOD($A85,Inputs!$B$8)=0),Inputs!$B$7*(1+Inputs!$B$6/100)^$A85,0)))</f>
        <v/>
      </c>
      <c r="H85" s="40" t="str">
        <f t="shared" si="11"/>
        <v/>
      </c>
      <c r="I85" s="40" t="str">
        <f t="shared" si="12"/>
        <v/>
      </c>
      <c r="J85" s="60"/>
      <c r="K85" s="42" t="str">
        <f>IF($A85="","",IFERROR(I85/(Inputs!$B$7*(1+Inputs!$B$6/100)^$A85),"-"))</f>
        <v/>
      </c>
      <c r="L85" s="43" t="e">
        <f t="shared" si="13"/>
        <v>#N/A</v>
      </c>
      <c r="M85" s="43" t="e">
        <f t="shared" si="14"/>
        <v>#N/A</v>
      </c>
      <c r="N85" s="44"/>
      <c r="O85" s="44"/>
      <c r="P85" s="44"/>
      <c r="Q85" s="44"/>
      <c r="R85" s="44"/>
      <c r="S85" s="44"/>
      <c r="T85" s="44"/>
      <c r="U85" s="44"/>
      <c r="V85" s="44"/>
      <c r="W85" s="44"/>
      <c r="X85" s="44"/>
      <c r="Y85" s="44"/>
      <c r="Z85" s="44"/>
      <c r="AA85" s="44"/>
      <c r="AB85" s="44"/>
      <c r="AC85" s="44"/>
    </row>
    <row r="86" spans="1:29" ht="15.75" customHeight="1" x14ac:dyDescent="0.25">
      <c r="A86" s="45" t="str">
        <f>IF(ROW()-2&lt;=Inputs!$B$3+1,ROW()-2,"")</f>
        <v/>
      </c>
      <c r="B86" s="45" t="str">
        <f>IF($A86="","",Inputs!$B$2+$A86-1)</f>
        <v/>
      </c>
      <c r="C86" s="46" t="str">
        <f>IF($A86="","",IF($A86=1,Inputs!$B$9,I85))</f>
        <v/>
      </c>
      <c r="D86" s="46" t="str">
        <f>IF($A86="","",Inputs!$B$4*12*(1+Inputs!$B$10/100)^($A86-1))</f>
        <v/>
      </c>
      <c r="E86" s="46" t="str">
        <f t="shared" si="10"/>
        <v/>
      </c>
      <c r="F86" s="46" t="str">
        <f>IF($A86="","",C86*(Inputs!$B$5/100))</f>
        <v/>
      </c>
      <c r="G86" s="46" t="str">
        <f>IF($A86="","",IF(OR(Inputs!$B$8&lt;=0,Inputs!$B$8=""),0,IF(AND($A86&gt;=Inputs!$B$8,MOD($A86,Inputs!$B$8)=0),Inputs!$B$7*(1+Inputs!$B$6/100)^$A86,0)))</f>
        <v/>
      </c>
      <c r="H86" s="46" t="str">
        <f t="shared" si="11"/>
        <v/>
      </c>
      <c r="I86" s="46" t="str">
        <f t="shared" si="12"/>
        <v/>
      </c>
      <c r="J86" s="61"/>
      <c r="K86" s="48" t="str">
        <f>IF($A86="","",IFERROR(I86/(Inputs!$B$7*(1+Inputs!$B$6/100)^$A86),"-"))</f>
        <v/>
      </c>
      <c r="L86" s="43" t="e">
        <f t="shared" si="13"/>
        <v>#N/A</v>
      </c>
      <c r="M86" s="43" t="e">
        <f t="shared" si="14"/>
        <v>#N/A</v>
      </c>
      <c r="N86" s="44"/>
      <c r="O86" s="44"/>
      <c r="P86" s="44"/>
      <c r="Q86" s="44"/>
      <c r="R86" s="44"/>
      <c r="S86" s="44"/>
      <c r="T86" s="44"/>
      <c r="U86" s="44"/>
      <c r="V86" s="44"/>
      <c r="W86" s="44"/>
      <c r="X86" s="44"/>
      <c r="Y86" s="44"/>
      <c r="Z86" s="44"/>
      <c r="AA86" s="44"/>
      <c r="AB86" s="44"/>
      <c r="AC86" s="44"/>
    </row>
    <row r="87" spans="1:29" ht="15.75" customHeight="1" x14ac:dyDescent="0.25">
      <c r="A87" s="39" t="str">
        <f>IF(ROW()-2&lt;=Inputs!$B$3+1,ROW()-2,"")</f>
        <v/>
      </c>
      <c r="B87" s="39" t="str">
        <f>IF($A87="","",Inputs!$B$2+$A87-1)</f>
        <v/>
      </c>
      <c r="C87" s="40" t="str">
        <f>IF($A87="","",IF($A87=1,Inputs!$B$9,I86))</f>
        <v/>
      </c>
      <c r="D87" s="40" t="str">
        <f>IF($A87="","",Inputs!$B$4*12*(1+Inputs!$B$10/100)^($A87-1))</f>
        <v/>
      </c>
      <c r="E87" s="40" t="str">
        <f t="shared" si="10"/>
        <v/>
      </c>
      <c r="F87" s="40" t="str">
        <f>IF($A87="","",C87*(Inputs!$B$5/100))</f>
        <v/>
      </c>
      <c r="G87" s="40" t="str">
        <f>IF($A87="","",IF(OR(Inputs!$B$8&lt;=0,Inputs!$B$8=""),0,IF(AND($A87&gt;=Inputs!$B$8,MOD($A87,Inputs!$B$8)=0),Inputs!$B$7*(1+Inputs!$B$6/100)^$A87,0)))</f>
        <v/>
      </c>
      <c r="H87" s="40" t="str">
        <f t="shared" si="11"/>
        <v/>
      </c>
      <c r="I87" s="40" t="str">
        <f t="shared" si="12"/>
        <v/>
      </c>
      <c r="J87" s="60"/>
      <c r="K87" s="42" t="str">
        <f>IF($A87="","",IFERROR(I87/(Inputs!$B$7*(1+Inputs!$B$6/100)^$A87),"-"))</f>
        <v/>
      </c>
      <c r="L87" s="43" t="e">
        <f t="shared" si="13"/>
        <v>#N/A</v>
      </c>
      <c r="M87" s="43" t="e">
        <f t="shared" si="14"/>
        <v>#N/A</v>
      </c>
      <c r="N87" s="44"/>
      <c r="O87" s="44"/>
      <c r="P87" s="44"/>
      <c r="Q87" s="44"/>
      <c r="R87" s="44"/>
      <c r="S87" s="44"/>
      <c r="T87" s="44"/>
      <c r="U87" s="44"/>
      <c r="V87" s="44"/>
      <c r="W87" s="44"/>
      <c r="X87" s="44"/>
      <c r="Y87" s="44"/>
      <c r="Z87" s="44"/>
      <c r="AA87" s="44"/>
      <c r="AB87" s="44"/>
      <c r="AC87" s="44"/>
    </row>
    <row r="88" spans="1:29" ht="15.75" customHeight="1" x14ac:dyDescent="0.25">
      <c r="A88" s="45" t="str">
        <f>IF(ROW()-2&lt;=Inputs!$B$3+1,ROW()-2,"")</f>
        <v/>
      </c>
      <c r="B88" s="45" t="str">
        <f>IF($A88="","",Inputs!$B$2+$A88-1)</f>
        <v/>
      </c>
      <c r="C88" s="46" t="str">
        <f>IF($A88="","",IF($A88=1,Inputs!$B$9,I87))</f>
        <v/>
      </c>
      <c r="D88" s="46" t="str">
        <f>IF($A88="","",Inputs!$B$4*12*(1+Inputs!$B$10/100)^($A88-1))</f>
        <v/>
      </c>
      <c r="E88" s="46" t="str">
        <f t="shared" si="10"/>
        <v/>
      </c>
      <c r="F88" s="46" t="str">
        <f>IF($A88="","",C88*(Inputs!$B$5/100))</f>
        <v/>
      </c>
      <c r="G88" s="46" t="str">
        <f>IF($A88="","",IF(OR(Inputs!$B$8&lt;=0,Inputs!$B$8=""),0,IF(AND($A88&gt;=Inputs!$B$8,MOD($A88,Inputs!$B$8)=0),Inputs!$B$7*(1+Inputs!$B$6/100)^$A88,0)))</f>
        <v/>
      </c>
      <c r="H88" s="46" t="str">
        <f t="shared" si="11"/>
        <v/>
      </c>
      <c r="I88" s="46" t="str">
        <f t="shared" si="12"/>
        <v/>
      </c>
      <c r="J88" s="61"/>
      <c r="K88" s="48" t="str">
        <f>IF($A88="","",IFERROR(I88/(Inputs!$B$7*(1+Inputs!$B$6/100)^$A88),"-"))</f>
        <v/>
      </c>
      <c r="L88" s="43" t="e">
        <f t="shared" si="13"/>
        <v>#N/A</v>
      </c>
      <c r="M88" s="43" t="e">
        <f t="shared" si="14"/>
        <v>#N/A</v>
      </c>
      <c r="N88" s="44"/>
      <c r="O88" s="44"/>
      <c r="P88" s="44"/>
      <c r="Q88" s="44"/>
      <c r="R88" s="44"/>
      <c r="S88" s="44"/>
      <c r="T88" s="44"/>
      <c r="U88" s="44"/>
      <c r="V88" s="44"/>
      <c r="W88" s="44"/>
      <c r="X88" s="44"/>
      <c r="Y88" s="44"/>
      <c r="Z88" s="44"/>
      <c r="AA88" s="44"/>
      <c r="AB88" s="44"/>
      <c r="AC88" s="44"/>
    </row>
    <row r="89" spans="1:29" ht="15.75" customHeight="1" x14ac:dyDescent="0.25">
      <c r="A89" s="39" t="str">
        <f>IF(ROW()-2&lt;=Inputs!$B$3+1,ROW()-2,"")</f>
        <v/>
      </c>
      <c r="B89" s="39" t="str">
        <f>IF($A89="","",Inputs!$B$2+$A89-1)</f>
        <v/>
      </c>
      <c r="C89" s="40" t="str">
        <f>IF($A89="","",IF($A89=1,Inputs!$B$9,I88))</f>
        <v/>
      </c>
      <c r="D89" s="40" t="str">
        <f>IF($A89="","",Inputs!$B$4*12*(1+Inputs!$B$10/100)^($A89-1))</f>
        <v/>
      </c>
      <c r="E89" s="40" t="str">
        <f t="shared" si="10"/>
        <v/>
      </c>
      <c r="F89" s="40" t="str">
        <f>IF($A89="","",C89*(Inputs!$B$5/100))</f>
        <v/>
      </c>
      <c r="G89" s="40" t="str">
        <f>IF($A89="","",IF(OR(Inputs!$B$8&lt;=0,Inputs!$B$8=""),0,IF(AND($A89&gt;=Inputs!$B$8,MOD($A89,Inputs!$B$8)=0),Inputs!$B$7*(1+Inputs!$B$6/100)^$A89,0)))</f>
        <v/>
      </c>
      <c r="H89" s="40" t="str">
        <f t="shared" si="11"/>
        <v/>
      </c>
      <c r="I89" s="40" t="str">
        <f t="shared" si="12"/>
        <v/>
      </c>
      <c r="J89" s="60"/>
      <c r="K89" s="42" t="str">
        <f>IF($A89="","",IFERROR(I89/(Inputs!$B$7*(1+Inputs!$B$6/100)^$A89),"-"))</f>
        <v/>
      </c>
      <c r="L89" s="43" t="e">
        <f t="shared" si="13"/>
        <v>#N/A</v>
      </c>
      <c r="M89" s="43" t="e">
        <f t="shared" si="14"/>
        <v>#N/A</v>
      </c>
      <c r="N89" s="44"/>
      <c r="O89" s="44"/>
      <c r="P89" s="44"/>
      <c r="Q89" s="44"/>
      <c r="R89" s="44"/>
      <c r="S89" s="44"/>
      <c r="T89" s="44"/>
      <c r="U89" s="44"/>
      <c r="V89" s="44"/>
      <c r="W89" s="44"/>
      <c r="X89" s="44"/>
      <c r="Y89" s="44"/>
      <c r="Z89" s="44"/>
      <c r="AA89" s="44"/>
      <c r="AB89" s="44"/>
      <c r="AC89" s="44"/>
    </row>
    <row r="90" spans="1:29" ht="15.75" customHeight="1" x14ac:dyDescent="0.25">
      <c r="A90" s="45" t="str">
        <f>IF(ROW()-2&lt;=Inputs!$B$3+1,ROW()-2,"")</f>
        <v/>
      </c>
      <c r="B90" s="45" t="str">
        <f>IF($A90="","",Inputs!$B$2+$A90-1)</f>
        <v/>
      </c>
      <c r="C90" s="46" t="str">
        <f>IF($A90="","",IF($A90=1,Inputs!$B$9,I89))</f>
        <v/>
      </c>
      <c r="D90" s="46" t="str">
        <f>IF($A90="","",Inputs!$B$4*12*(1+Inputs!$B$10/100)^($A90-1))</f>
        <v/>
      </c>
      <c r="E90" s="46" t="str">
        <f t="shared" si="10"/>
        <v/>
      </c>
      <c r="F90" s="46" t="str">
        <f>IF($A90="","",C90*(Inputs!$B$5/100))</f>
        <v/>
      </c>
      <c r="G90" s="46" t="str">
        <f>IF($A90="","",IF(OR(Inputs!$B$8&lt;=0,Inputs!$B$8=""),0,IF(AND($A90&gt;=Inputs!$B$8,MOD($A90,Inputs!$B$8)=0),Inputs!$B$7*(1+Inputs!$B$6/100)^$A90,0)))</f>
        <v/>
      </c>
      <c r="H90" s="46" t="str">
        <f t="shared" si="11"/>
        <v/>
      </c>
      <c r="I90" s="46" t="str">
        <f t="shared" si="12"/>
        <v/>
      </c>
      <c r="J90" s="61"/>
      <c r="K90" s="48" t="str">
        <f>IF($A90="","",IFERROR(I90/(Inputs!$B$7*(1+Inputs!$B$6/100)^$A90),"-"))</f>
        <v/>
      </c>
      <c r="L90" s="43" t="e">
        <f t="shared" si="13"/>
        <v>#N/A</v>
      </c>
      <c r="M90" s="43" t="e">
        <f t="shared" si="14"/>
        <v>#N/A</v>
      </c>
      <c r="N90" s="44"/>
      <c r="O90" s="44"/>
      <c r="P90" s="44"/>
      <c r="Q90" s="44"/>
      <c r="R90" s="44"/>
      <c r="S90" s="44"/>
      <c r="T90" s="44"/>
      <c r="U90" s="44"/>
      <c r="V90" s="44"/>
      <c r="W90" s="44"/>
      <c r="X90" s="44"/>
      <c r="Y90" s="44"/>
      <c r="Z90" s="44"/>
      <c r="AA90" s="44"/>
      <c r="AB90" s="44"/>
      <c r="AC90" s="44"/>
    </row>
    <row r="91" spans="1:29" ht="15.75" customHeight="1" x14ac:dyDescent="0.25">
      <c r="A91" s="39" t="str">
        <f>IF(ROW()-2&lt;=Inputs!$B$3+1,ROW()-2,"")</f>
        <v/>
      </c>
      <c r="B91" s="39" t="str">
        <f>IF($A91="","",Inputs!$B$2+$A91-1)</f>
        <v/>
      </c>
      <c r="C91" s="40" t="str">
        <f>IF($A91="","",IF($A91=1,Inputs!$B$9,I90))</f>
        <v/>
      </c>
      <c r="D91" s="40" t="str">
        <f>IF($A91="","",Inputs!$B$4*12*(1+Inputs!$B$10/100)^($A91-1))</f>
        <v/>
      </c>
      <c r="E91" s="40" t="str">
        <f t="shared" si="10"/>
        <v/>
      </c>
      <c r="F91" s="40" t="str">
        <f>IF($A91="","",C91*(Inputs!$B$5/100))</f>
        <v/>
      </c>
      <c r="G91" s="40" t="str">
        <f>IF($A91="","",IF(OR(Inputs!$B$8&lt;=0,Inputs!$B$8=""),0,IF(AND($A91&gt;=Inputs!$B$8,MOD($A91,Inputs!$B$8)=0),Inputs!$B$7*(1+Inputs!$B$6/100)^$A91,0)))</f>
        <v/>
      </c>
      <c r="H91" s="40" t="str">
        <f t="shared" si="11"/>
        <v/>
      </c>
      <c r="I91" s="40" t="str">
        <f t="shared" si="12"/>
        <v/>
      </c>
      <c r="J91" s="60"/>
      <c r="K91" s="42" t="str">
        <f>IF($A91="","",IFERROR(I91/(Inputs!$B$7*(1+Inputs!$B$6/100)^$A91),"-"))</f>
        <v/>
      </c>
      <c r="L91" s="43" t="e">
        <f t="shared" si="13"/>
        <v>#N/A</v>
      </c>
      <c r="M91" s="43" t="e">
        <f t="shared" si="14"/>
        <v>#N/A</v>
      </c>
      <c r="N91" s="44"/>
      <c r="O91" s="44"/>
      <c r="P91" s="44"/>
      <c r="Q91" s="44"/>
      <c r="R91" s="44"/>
      <c r="S91" s="44"/>
      <c r="T91" s="44"/>
      <c r="U91" s="44"/>
      <c r="V91" s="44"/>
      <c r="W91" s="44"/>
      <c r="X91" s="44"/>
      <c r="Y91" s="44"/>
      <c r="Z91" s="44"/>
      <c r="AA91" s="44"/>
      <c r="AB91" s="44"/>
      <c r="AC91" s="44"/>
    </row>
    <row r="92" spans="1:29" ht="15.75" customHeight="1" x14ac:dyDescent="0.25">
      <c r="A92" s="45" t="str">
        <f>IF(ROW()-2&lt;=Inputs!$B$3+1,ROW()-2,"")</f>
        <v/>
      </c>
      <c r="B92" s="45" t="str">
        <f>IF($A92="","",Inputs!$B$2+$A92-1)</f>
        <v/>
      </c>
      <c r="C92" s="46" t="str">
        <f>IF($A92="","",IF($A92=1,Inputs!$B$9,I91))</f>
        <v/>
      </c>
      <c r="D92" s="46" t="str">
        <f>IF($A92="","",Inputs!$B$4*12*(1+Inputs!$B$10/100)^($A92-1))</f>
        <v/>
      </c>
      <c r="E92" s="46" t="str">
        <f t="shared" si="10"/>
        <v/>
      </c>
      <c r="F92" s="46" t="str">
        <f>IF($A92="","",C92*(Inputs!$B$5/100))</f>
        <v/>
      </c>
      <c r="G92" s="46" t="str">
        <f>IF($A92="","",IF(OR(Inputs!$B$8&lt;=0,Inputs!$B$8=""),0,IF(AND($A92&gt;=Inputs!$B$8,MOD($A92,Inputs!$B$8)=0),Inputs!$B$7*(1+Inputs!$B$6/100)^$A92,0)))</f>
        <v/>
      </c>
      <c r="H92" s="46" t="str">
        <f t="shared" si="11"/>
        <v/>
      </c>
      <c r="I92" s="46" t="str">
        <f t="shared" si="12"/>
        <v/>
      </c>
      <c r="J92" s="61"/>
      <c r="K92" s="48" t="str">
        <f>IF($A92="","",IFERROR(I92/(Inputs!$B$7*(1+Inputs!$B$6/100)^$A92),"-"))</f>
        <v/>
      </c>
      <c r="L92" s="43" t="e">
        <f t="shared" si="13"/>
        <v>#N/A</v>
      </c>
      <c r="M92" s="43" t="e">
        <f t="shared" si="14"/>
        <v>#N/A</v>
      </c>
      <c r="N92" s="44"/>
      <c r="O92" s="44"/>
      <c r="P92" s="44"/>
      <c r="Q92" s="44"/>
      <c r="R92" s="44"/>
      <c r="S92" s="44"/>
      <c r="T92" s="44"/>
      <c r="U92" s="44"/>
      <c r="V92" s="44"/>
      <c r="W92" s="44"/>
      <c r="X92" s="44"/>
      <c r="Y92" s="44"/>
      <c r="Z92" s="44"/>
      <c r="AA92" s="44"/>
      <c r="AB92" s="44"/>
      <c r="AC92" s="44"/>
    </row>
    <row r="93" spans="1:29" ht="15.75" customHeight="1" x14ac:dyDescent="0.25">
      <c r="A93" s="39" t="str">
        <f>IF(ROW()-2&lt;=Inputs!$B$3+1,ROW()-2,"")</f>
        <v/>
      </c>
      <c r="B93" s="39" t="str">
        <f>IF($A93="","",Inputs!$B$2+$A93-1)</f>
        <v/>
      </c>
      <c r="C93" s="40" t="str">
        <f>IF($A93="","",IF($A93=1,Inputs!$B$9,I92))</f>
        <v/>
      </c>
      <c r="D93" s="40" t="str">
        <f>IF($A93="","",Inputs!$B$4*12*(1+Inputs!$B$10/100)^($A93-1))</f>
        <v/>
      </c>
      <c r="E93" s="40" t="str">
        <f t="shared" si="10"/>
        <v/>
      </c>
      <c r="F93" s="40" t="str">
        <f>IF($A93="","",C93*(Inputs!$B$5/100))</f>
        <v/>
      </c>
      <c r="G93" s="40" t="str">
        <f>IF($A93="","",IF(OR(Inputs!$B$8&lt;=0,Inputs!$B$8=""),0,IF(AND($A93&gt;=Inputs!$B$8,MOD($A93,Inputs!$B$8)=0),Inputs!$B$7*(1+Inputs!$B$6/100)^$A93,0)))</f>
        <v/>
      </c>
      <c r="H93" s="40" t="str">
        <f t="shared" si="11"/>
        <v/>
      </c>
      <c r="I93" s="40" t="str">
        <f t="shared" si="12"/>
        <v/>
      </c>
      <c r="J93" s="60"/>
      <c r="K93" s="42" t="str">
        <f>IF($A93="","",IFERROR(I93/(Inputs!$B$7*(1+Inputs!$B$6/100)^$A93),"-"))</f>
        <v/>
      </c>
      <c r="L93" s="43" t="e">
        <f t="shared" si="13"/>
        <v>#N/A</v>
      </c>
      <c r="M93" s="43" t="e">
        <f t="shared" si="14"/>
        <v>#N/A</v>
      </c>
      <c r="N93" s="44"/>
      <c r="O93" s="44"/>
      <c r="P93" s="44"/>
      <c r="Q93" s="44"/>
      <c r="R93" s="44"/>
      <c r="S93" s="44"/>
      <c r="T93" s="44"/>
      <c r="U93" s="44"/>
      <c r="V93" s="44"/>
      <c r="W93" s="44"/>
      <c r="X93" s="44"/>
      <c r="Y93" s="44"/>
      <c r="Z93" s="44"/>
      <c r="AA93" s="44"/>
      <c r="AB93" s="44"/>
      <c r="AC93" s="44"/>
    </row>
    <row r="94" spans="1:29" ht="15.75" customHeight="1" x14ac:dyDescent="0.25">
      <c r="A94" s="45" t="str">
        <f>IF(ROW()-2&lt;=Inputs!$B$3+1,ROW()-2,"")</f>
        <v/>
      </c>
      <c r="B94" s="45" t="str">
        <f>IF($A94="","",Inputs!$B$2+$A94-1)</f>
        <v/>
      </c>
      <c r="C94" s="46" t="str">
        <f>IF($A94="","",IF($A94=1,Inputs!$B$9,I93))</f>
        <v/>
      </c>
      <c r="D94" s="46" t="str">
        <f>IF($A94="","",Inputs!$B$4*12*(1+Inputs!$B$10/100)^($A94-1))</f>
        <v/>
      </c>
      <c r="E94" s="46" t="str">
        <f t="shared" si="10"/>
        <v/>
      </c>
      <c r="F94" s="46" t="str">
        <f>IF($A94="","",C94*(Inputs!$B$5/100))</f>
        <v/>
      </c>
      <c r="G94" s="46" t="str">
        <f>IF($A94="","",IF(OR(Inputs!$B$8&lt;=0,Inputs!$B$8=""),0,IF(AND($A94&gt;=Inputs!$B$8,MOD($A94,Inputs!$B$8)=0),Inputs!$B$7*(1+Inputs!$B$6/100)^$A94,0)))</f>
        <v/>
      </c>
      <c r="H94" s="46" t="str">
        <f t="shared" si="11"/>
        <v/>
      </c>
      <c r="I94" s="46" t="str">
        <f t="shared" si="12"/>
        <v/>
      </c>
      <c r="J94" s="61"/>
      <c r="K94" s="48" t="str">
        <f>IF($A94="","",IFERROR(I94/(Inputs!$B$7*(1+Inputs!$B$6/100)^$A94),"-"))</f>
        <v/>
      </c>
      <c r="L94" s="43" t="e">
        <f t="shared" si="13"/>
        <v>#N/A</v>
      </c>
      <c r="M94" s="43" t="e">
        <f t="shared" si="14"/>
        <v>#N/A</v>
      </c>
      <c r="N94" s="44"/>
      <c r="O94" s="44"/>
      <c r="P94" s="44"/>
      <c r="Q94" s="44"/>
      <c r="R94" s="44"/>
      <c r="S94" s="44"/>
      <c r="T94" s="44"/>
      <c r="U94" s="44"/>
      <c r="V94" s="44"/>
      <c r="W94" s="44"/>
      <c r="X94" s="44"/>
      <c r="Y94" s="44"/>
      <c r="Z94" s="44"/>
      <c r="AA94" s="44"/>
      <c r="AB94" s="44"/>
      <c r="AC94" s="44"/>
    </row>
    <row r="95" spans="1:29" ht="15.75" customHeight="1" x14ac:dyDescent="0.25">
      <c r="A95" s="39" t="str">
        <f>IF(ROW()-2&lt;=Inputs!$B$3+1,ROW()-2,"")</f>
        <v/>
      </c>
      <c r="B95" s="39" t="str">
        <f>IF($A95="","",Inputs!$B$2+$A95-1)</f>
        <v/>
      </c>
      <c r="C95" s="40" t="str">
        <f>IF($A95="","",IF($A95=1,Inputs!$B$9,I94))</f>
        <v/>
      </c>
      <c r="D95" s="40" t="str">
        <f>IF($A95="","",Inputs!$B$4*12*(1+Inputs!$B$10/100)^($A95-1))</f>
        <v/>
      </c>
      <c r="E95" s="40" t="str">
        <f t="shared" si="10"/>
        <v/>
      </c>
      <c r="F95" s="40" t="str">
        <f>IF($A95="","",C95*(Inputs!$B$5/100))</f>
        <v/>
      </c>
      <c r="G95" s="40" t="str">
        <f>IF($A95="","",IF(OR(Inputs!$B$8&lt;=0,Inputs!$B$8=""),0,IF(AND($A95&gt;=Inputs!$B$8,MOD($A95,Inputs!$B$8)=0),Inputs!$B$7*(1+Inputs!$B$6/100)^$A95,0)))</f>
        <v/>
      </c>
      <c r="H95" s="40" t="str">
        <f t="shared" si="11"/>
        <v/>
      </c>
      <c r="I95" s="40" t="str">
        <f t="shared" si="12"/>
        <v/>
      </c>
      <c r="J95" s="60"/>
      <c r="K95" s="42" t="str">
        <f>IF($A95="","",IFERROR(I95/(Inputs!$B$7*(1+Inputs!$B$6/100)^$A95),"-"))</f>
        <v/>
      </c>
      <c r="L95" s="43" t="e">
        <f t="shared" si="13"/>
        <v>#N/A</v>
      </c>
      <c r="M95" s="43" t="e">
        <f t="shared" si="14"/>
        <v>#N/A</v>
      </c>
      <c r="N95" s="44"/>
      <c r="O95" s="44"/>
      <c r="P95" s="44"/>
      <c r="Q95" s="44"/>
      <c r="R95" s="44"/>
      <c r="S95" s="44"/>
      <c r="T95" s="44"/>
      <c r="U95" s="44"/>
      <c r="V95" s="44"/>
      <c r="W95" s="44"/>
      <c r="X95" s="44"/>
      <c r="Y95" s="44"/>
      <c r="Z95" s="44"/>
      <c r="AA95" s="44"/>
      <c r="AB95" s="44"/>
      <c r="AC95" s="44"/>
    </row>
    <row r="96" spans="1:29" ht="15.75" customHeight="1" x14ac:dyDescent="0.25">
      <c r="A96" s="45" t="str">
        <f>IF(ROW()-2&lt;=Inputs!$B$3+1,ROW()-2,"")</f>
        <v/>
      </c>
      <c r="B96" s="45" t="str">
        <f>IF($A96="","",Inputs!$B$2+$A96-1)</f>
        <v/>
      </c>
      <c r="C96" s="46" t="str">
        <f>IF($A96="","",IF($A96=1,Inputs!$B$9,I95))</f>
        <v/>
      </c>
      <c r="D96" s="46" t="str">
        <f>IF($A96="","",Inputs!$B$4*12*(1+Inputs!$B$10/100)^($A96-1))</f>
        <v/>
      </c>
      <c r="E96" s="46" t="str">
        <f t="shared" si="10"/>
        <v/>
      </c>
      <c r="F96" s="46" t="str">
        <f>IF($A96="","",C96*(Inputs!$B$5/100))</f>
        <v/>
      </c>
      <c r="G96" s="46" t="str">
        <f>IF($A96="","",IF(OR(Inputs!$B$8&lt;=0,Inputs!$B$8=""),0,IF(AND($A96&gt;=Inputs!$B$8,MOD($A96,Inputs!$B$8)=0),Inputs!$B$7*(1+Inputs!$B$6/100)^$A96,0)))</f>
        <v/>
      </c>
      <c r="H96" s="46" t="str">
        <f t="shared" si="11"/>
        <v/>
      </c>
      <c r="I96" s="46" t="str">
        <f t="shared" si="12"/>
        <v/>
      </c>
      <c r="J96" s="61"/>
      <c r="K96" s="48" t="str">
        <f>IF($A96="","",IFERROR(I96/(Inputs!$B$7*(1+Inputs!$B$6/100)^$A96),"-"))</f>
        <v/>
      </c>
      <c r="L96" s="43" t="e">
        <f t="shared" si="13"/>
        <v>#N/A</v>
      </c>
      <c r="M96" s="43" t="e">
        <f t="shared" si="14"/>
        <v>#N/A</v>
      </c>
      <c r="N96" s="44"/>
      <c r="O96" s="44"/>
      <c r="P96" s="44"/>
      <c r="Q96" s="44"/>
      <c r="R96" s="44"/>
      <c r="S96" s="44"/>
      <c r="T96" s="44"/>
      <c r="U96" s="44"/>
      <c r="V96" s="44"/>
      <c r="W96" s="44"/>
      <c r="X96" s="44"/>
      <c r="Y96" s="44"/>
      <c r="Z96" s="44"/>
      <c r="AA96" s="44"/>
      <c r="AB96" s="44"/>
      <c r="AC96" s="44"/>
    </row>
    <row r="97" spans="1:29" ht="15.75" customHeight="1" x14ac:dyDescent="0.25">
      <c r="A97" s="39" t="str">
        <f>IF(ROW()-2&lt;=Inputs!$B$3+1,ROW()-2,"")</f>
        <v/>
      </c>
      <c r="B97" s="39" t="str">
        <f>IF($A97="","",Inputs!$B$2+$A97-1)</f>
        <v/>
      </c>
      <c r="C97" s="40" t="str">
        <f>IF($A97="","",IF($A97=1,Inputs!$B$9,I96))</f>
        <v/>
      </c>
      <c r="D97" s="40" t="str">
        <f>IF($A97="","",Inputs!$B$4*12*(1+Inputs!$B$10/100)^($A97-1))</f>
        <v/>
      </c>
      <c r="E97" s="40" t="str">
        <f t="shared" si="10"/>
        <v/>
      </c>
      <c r="F97" s="40" t="str">
        <f>IF($A97="","",C97*(Inputs!$B$5/100))</f>
        <v/>
      </c>
      <c r="G97" s="40" t="str">
        <f>IF($A97="","",IF(OR(Inputs!$B$8&lt;=0,Inputs!$B$8=""),0,IF(AND($A97&gt;=Inputs!$B$8,MOD($A97,Inputs!$B$8)=0),Inputs!$B$7*(1+Inputs!$B$6/100)^$A97,0)))</f>
        <v/>
      </c>
      <c r="H97" s="40" t="str">
        <f t="shared" si="11"/>
        <v/>
      </c>
      <c r="I97" s="40" t="str">
        <f t="shared" si="12"/>
        <v/>
      </c>
      <c r="J97" s="60"/>
      <c r="K97" s="42" t="str">
        <f>IF($A97="","",IFERROR(I97/(Inputs!$B$7*(1+Inputs!$B$6/100)^$A97),"-"))</f>
        <v/>
      </c>
      <c r="L97" s="43" t="e">
        <f t="shared" si="13"/>
        <v>#N/A</v>
      </c>
      <c r="M97" s="43" t="e">
        <f t="shared" si="14"/>
        <v>#N/A</v>
      </c>
      <c r="N97" s="44"/>
      <c r="O97" s="44"/>
      <c r="P97" s="44"/>
      <c r="Q97" s="44"/>
      <c r="R97" s="44"/>
      <c r="S97" s="44"/>
      <c r="T97" s="44"/>
      <c r="U97" s="44"/>
      <c r="V97" s="44"/>
      <c r="W97" s="44"/>
      <c r="X97" s="44"/>
      <c r="Y97" s="44"/>
      <c r="Z97" s="44"/>
      <c r="AA97" s="44"/>
      <c r="AB97" s="44"/>
      <c r="AC97" s="44"/>
    </row>
    <row r="98" spans="1:29" ht="15.75" customHeight="1" x14ac:dyDescent="0.25">
      <c r="A98" s="45" t="str">
        <f>IF(ROW()-2&lt;=Inputs!$B$3+1,ROW()-2,"")</f>
        <v/>
      </c>
      <c r="B98" s="45" t="str">
        <f>IF($A98="","",Inputs!$B$2+$A98-1)</f>
        <v/>
      </c>
      <c r="C98" s="46" t="str">
        <f>IF($A98="","",IF($A98=1,Inputs!$B$9,I97))</f>
        <v/>
      </c>
      <c r="D98" s="46" t="str">
        <f>IF($A98="","",Inputs!$B$4*12*(1+Inputs!$B$10/100)^($A98-1))</f>
        <v/>
      </c>
      <c r="E98" s="46" t="str">
        <f t="shared" si="10"/>
        <v/>
      </c>
      <c r="F98" s="46" t="str">
        <f>IF($A98="","",C98*(Inputs!$B$5/100))</f>
        <v/>
      </c>
      <c r="G98" s="46" t="str">
        <f>IF($A98="","",IF(OR(Inputs!$B$8&lt;=0,Inputs!$B$8=""),0,IF(AND($A98&gt;=Inputs!$B$8,MOD($A98,Inputs!$B$8)=0),Inputs!$B$7*(1+Inputs!$B$6/100)^$A98,0)))</f>
        <v/>
      </c>
      <c r="H98" s="46" t="str">
        <f t="shared" si="11"/>
        <v/>
      </c>
      <c r="I98" s="46" t="str">
        <f t="shared" si="12"/>
        <v/>
      </c>
      <c r="J98" s="61"/>
      <c r="K98" s="48" t="str">
        <f>IF($A98="","",IFERROR(I98/(Inputs!$B$7*(1+Inputs!$B$6/100)^$A98),"-"))</f>
        <v/>
      </c>
      <c r="L98" s="43" t="e">
        <f t="shared" si="13"/>
        <v>#N/A</v>
      </c>
      <c r="M98" s="43" t="e">
        <f t="shared" si="14"/>
        <v>#N/A</v>
      </c>
      <c r="N98" s="44"/>
      <c r="O98" s="44"/>
      <c r="P98" s="44"/>
      <c r="Q98" s="44"/>
      <c r="R98" s="44"/>
      <c r="S98" s="44"/>
      <c r="T98" s="44"/>
      <c r="U98" s="44"/>
      <c r="V98" s="44"/>
      <c r="W98" s="44"/>
      <c r="X98" s="44"/>
      <c r="Y98" s="44"/>
      <c r="Z98" s="44"/>
      <c r="AA98" s="44"/>
      <c r="AB98" s="44"/>
      <c r="AC98" s="44"/>
    </row>
    <row r="99" spans="1:29" ht="15.75" customHeight="1" x14ac:dyDescent="0.25">
      <c r="A99" s="39" t="str">
        <f>IF(ROW()-2&lt;=Inputs!$B$3+1,ROW()-2,"")</f>
        <v/>
      </c>
      <c r="B99" s="39" t="str">
        <f>IF($A99="","",Inputs!$B$2+$A99-1)</f>
        <v/>
      </c>
      <c r="C99" s="40" t="str">
        <f>IF($A99="","",IF($A99=1,Inputs!$B$9,I98))</f>
        <v/>
      </c>
      <c r="D99" s="40" t="str">
        <f>IF($A99="","",Inputs!$B$4*12*(1+Inputs!$B$10/100)^($A99-1))</f>
        <v/>
      </c>
      <c r="E99" s="40" t="str">
        <f t="shared" ref="E99:E102" si="15">IF($A99="","",D99/12)</f>
        <v/>
      </c>
      <c r="F99" s="40" t="str">
        <f>IF($A99="","",C99*(Inputs!$B$5/100))</f>
        <v/>
      </c>
      <c r="G99" s="40" t="str">
        <f>IF($A99="","",IF(OR(Inputs!$B$8&lt;=0,Inputs!$B$8=""),0,IF(AND($A99&gt;=Inputs!$B$8,MOD($A99,Inputs!$B$8)=0),Inputs!$B$7*(1+Inputs!$B$6/100)^$A99,0)))</f>
        <v/>
      </c>
      <c r="H99" s="40" t="str">
        <f t="shared" ref="H99:H102" si="16">IF($A99="","",G99)</f>
        <v/>
      </c>
      <c r="I99" s="40" t="str">
        <f t="shared" ref="I99:I102" si="17">IF($A99="","",C99+D99+F99-H99)</f>
        <v/>
      </c>
      <c r="J99" s="60"/>
      <c r="K99" s="42" t="str">
        <f>IF($A99="","",IFERROR(I99/(Inputs!$B$7*(1+Inputs!$B$6/100)^$A99),"-"))</f>
        <v/>
      </c>
      <c r="L99" s="43" t="e">
        <f t="shared" si="13"/>
        <v>#N/A</v>
      </c>
      <c r="M99" s="43" t="e">
        <f t="shared" si="14"/>
        <v>#N/A</v>
      </c>
      <c r="N99" s="44"/>
      <c r="O99" s="44"/>
      <c r="P99" s="44"/>
      <c r="Q99" s="44"/>
      <c r="R99" s="44"/>
      <c r="S99" s="44"/>
      <c r="T99" s="44"/>
      <c r="U99" s="44"/>
      <c r="V99" s="44"/>
      <c r="W99" s="44"/>
      <c r="X99" s="44"/>
      <c r="Y99" s="44"/>
      <c r="Z99" s="44"/>
      <c r="AA99" s="44"/>
      <c r="AB99" s="44"/>
      <c r="AC99" s="44"/>
    </row>
    <row r="100" spans="1:29" ht="15.75" customHeight="1" x14ac:dyDescent="0.25">
      <c r="A100" s="45" t="str">
        <f>IF(ROW()-2&lt;=Inputs!$B$3+1,ROW()-2,"")</f>
        <v/>
      </c>
      <c r="B100" s="45" t="str">
        <f>IF($A100="","",Inputs!$B$2+$A100-1)</f>
        <v/>
      </c>
      <c r="C100" s="46" t="str">
        <f>IF($A100="","",IF($A100=1,Inputs!$B$9,I99))</f>
        <v/>
      </c>
      <c r="D100" s="46" t="str">
        <f>IF($A100="","",Inputs!$B$4*12*(1+Inputs!$B$10/100)^($A100-1))</f>
        <v/>
      </c>
      <c r="E100" s="46" t="str">
        <f t="shared" si="15"/>
        <v/>
      </c>
      <c r="F100" s="46" t="str">
        <f>IF($A100="","",C100*(Inputs!$B$5/100))</f>
        <v/>
      </c>
      <c r="G100" s="46" t="str">
        <f>IF($A100="","",IF(OR(Inputs!$B$8&lt;=0,Inputs!$B$8=""),0,IF(AND($A100&gt;=Inputs!$B$8,MOD($A100,Inputs!$B$8)=0),Inputs!$B$7*(1+Inputs!$B$6/100)^$A100,0)))</f>
        <v/>
      </c>
      <c r="H100" s="46" t="str">
        <f t="shared" si="16"/>
        <v/>
      </c>
      <c r="I100" s="46" t="str">
        <f t="shared" si="17"/>
        <v/>
      </c>
      <c r="J100" s="61"/>
      <c r="K100" s="48" t="str">
        <f>IF($A100="","",IFERROR(I100/(Inputs!$B$7*(1+Inputs!$B$6/100)^$A100),"-"))</f>
        <v/>
      </c>
      <c r="L100" s="43" t="e">
        <f t="shared" si="13"/>
        <v>#N/A</v>
      </c>
      <c r="M100" s="43" t="e">
        <f t="shared" si="14"/>
        <v>#N/A</v>
      </c>
      <c r="N100" s="44"/>
      <c r="O100" s="44"/>
      <c r="P100" s="44"/>
      <c r="Q100" s="44"/>
      <c r="R100" s="44"/>
      <c r="S100" s="44"/>
      <c r="T100" s="44"/>
      <c r="U100" s="44"/>
      <c r="V100" s="44"/>
      <c r="W100" s="44"/>
      <c r="X100" s="44"/>
      <c r="Y100" s="44"/>
      <c r="Z100" s="44"/>
      <c r="AA100" s="44"/>
      <c r="AB100" s="44"/>
      <c r="AC100" s="44"/>
    </row>
    <row r="101" spans="1:29" ht="15.75" customHeight="1" x14ac:dyDescent="0.25">
      <c r="A101" s="39" t="str">
        <f>IF(ROW()-2&lt;=Inputs!$B$3+1,ROW()-2,"")</f>
        <v/>
      </c>
      <c r="B101" s="39" t="str">
        <f>IF($A101="","",Inputs!$B$2+$A101-1)</f>
        <v/>
      </c>
      <c r="C101" s="40" t="str">
        <f>IF($A101="","",IF($A101=1,Inputs!$B$9,I100))</f>
        <v/>
      </c>
      <c r="D101" s="40" t="str">
        <f>IF($A101="","",Inputs!$B$4*12*(1+Inputs!$B$10/100)^($A101-1))</f>
        <v/>
      </c>
      <c r="E101" s="40" t="str">
        <f t="shared" si="15"/>
        <v/>
      </c>
      <c r="F101" s="40" t="str">
        <f>IF($A101="","",C101*(Inputs!$B$5/100))</f>
        <v/>
      </c>
      <c r="G101" s="40" t="str">
        <f>IF($A101="","",IF(OR(Inputs!$B$8&lt;=0,Inputs!$B$8=""),0,IF(AND($A101&gt;=Inputs!$B$8,MOD($A101,Inputs!$B$8)=0),Inputs!$B$7*(1+Inputs!$B$6/100)^$A101,0)))</f>
        <v/>
      </c>
      <c r="H101" s="40" t="str">
        <f t="shared" si="16"/>
        <v/>
      </c>
      <c r="I101" s="40" t="str">
        <f t="shared" si="17"/>
        <v/>
      </c>
      <c r="J101" s="60"/>
      <c r="K101" s="42" t="str">
        <f>IF($A101="","",IFERROR(I101/(Inputs!$B$7*(1+Inputs!$B$6/100)^$A101),"-"))</f>
        <v/>
      </c>
      <c r="L101" s="43" t="e">
        <f t="shared" si="13"/>
        <v>#N/A</v>
      </c>
      <c r="M101" s="43" t="e">
        <f t="shared" si="14"/>
        <v>#N/A</v>
      </c>
      <c r="N101" s="44"/>
      <c r="O101" s="44"/>
      <c r="P101" s="44"/>
      <c r="Q101" s="44"/>
      <c r="R101" s="44"/>
      <c r="S101" s="44"/>
      <c r="T101" s="44"/>
      <c r="U101" s="44"/>
      <c r="V101" s="44"/>
      <c r="W101" s="44"/>
      <c r="X101" s="44"/>
      <c r="Y101" s="44"/>
      <c r="Z101" s="44"/>
      <c r="AA101" s="44"/>
      <c r="AB101" s="44"/>
      <c r="AC101" s="44"/>
    </row>
    <row r="102" spans="1:29" ht="15.75" customHeight="1" x14ac:dyDescent="0.25">
      <c r="A102" s="45" t="str">
        <f>IF(ROW()-2&lt;=Inputs!$B$3+1,ROW()-2,"")</f>
        <v/>
      </c>
      <c r="B102" s="45" t="str">
        <f>IF($A102="","",Inputs!$B$2+$A102-1)</f>
        <v/>
      </c>
      <c r="C102" s="46" t="str">
        <f>IF($A102="","",IF($A102=1,Inputs!$B$9,I101))</f>
        <v/>
      </c>
      <c r="D102" s="46" t="str">
        <f>IF($A102="","",Inputs!$B$4*12*(1+Inputs!$B$10/100)^($A102-1))</f>
        <v/>
      </c>
      <c r="E102" s="46" t="str">
        <f t="shared" si="15"/>
        <v/>
      </c>
      <c r="F102" s="46" t="str">
        <f>IF($A102="","",C102*(Inputs!$B$5/100))</f>
        <v/>
      </c>
      <c r="G102" s="46" t="str">
        <f>IF($A102="","",IF(OR(Inputs!$B$8&lt;=0,Inputs!$B$8=""),0,IF(AND($A102&gt;=Inputs!$B$8,MOD($A102,Inputs!$B$8)=0),Inputs!$B$7*(1+Inputs!$B$6/100)^$A102,0)))</f>
        <v/>
      </c>
      <c r="H102" s="46" t="str">
        <f t="shared" si="16"/>
        <v/>
      </c>
      <c r="I102" s="46" t="str">
        <f t="shared" si="17"/>
        <v/>
      </c>
      <c r="J102" s="61"/>
      <c r="K102" s="48" t="str">
        <f>IF($A102="","",IFERROR(I102/(Inputs!$B$7*(1+Inputs!$B$6/100)^$A102),"-"))</f>
        <v/>
      </c>
      <c r="L102" s="43" t="e">
        <f t="shared" si="13"/>
        <v>#N/A</v>
      </c>
      <c r="M102" s="43" t="e">
        <f t="shared" si="14"/>
        <v>#N/A</v>
      </c>
      <c r="N102" s="44"/>
      <c r="O102" s="44"/>
      <c r="P102" s="44"/>
      <c r="Q102" s="44"/>
      <c r="R102" s="44"/>
      <c r="S102" s="44"/>
      <c r="T102" s="44"/>
      <c r="U102" s="44"/>
      <c r="V102" s="44"/>
      <c r="W102" s="44"/>
      <c r="X102" s="44"/>
      <c r="Y102" s="44"/>
      <c r="Z102" s="44"/>
      <c r="AA102" s="44"/>
      <c r="AB102" s="44"/>
      <c r="AC102" s="44"/>
    </row>
    <row r="103" spans="1:29" ht="15" customHeight="1" x14ac:dyDescent="0.25">
      <c r="C103" s="44"/>
      <c r="D103" s="44"/>
      <c r="E103" s="64"/>
      <c r="F103" s="44"/>
      <c r="G103" s="44"/>
      <c r="H103" s="44"/>
      <c r="I103" s="44"/>
      <c r="J103" s="44"/>
      <c r="K103" s="44"/>
      <c r="L103" s="43" t="e">
        <f t="shared" si="13"/>
        <v>#N/A</v>
      </c>
      <c r="M103" s="43" t="e">
        <f t="shared" si="14"/>
        <v>#N/A</v>
      </c>
      <c r="N103" s="44"/>
      <c r="O103" s="44"/>
      <c r="P103" s="44"/>
      <c r="Q103" s="44"/>
      <c r="R103" s="44"/>
      <c r="S103" s="44"/>
      <c r="T103" s="44"/>
      <c r="U103" s="44"/>
      <c r="V103" s="44"/>
      <c r="W103" s="44"/>
      <c r="X103" s="44"/>
      <c r="Y103" s="44"/>
      <c r="Z103" s="44"/>
      <c r="AA103" s="44"/>
      <c r="AB103" s="44"/>
      <c r="AC103" s="44"/>
    </row>
    <row r="104" spans="1:29" ht="15" customHeight="1" x14ac:dyDescent="0.25">
      <c r="C104" s="44"/>
      <c r="D104" s="44"/>
      <c r="E104" s="6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row>
    <row r="105" spans="1:29" ht="15" customHeight="1" x14ac:dyDescent="0.25">
      <c r="C105" s="44"/>
      <c r="D105" s="44"/>
      <c r="E105" s="6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row>
    <row r="106" spans="1:29" ht="15" customHeight="1" x14ac:dyDescent="0.25">
      <c r="A106" s="1">
        <f>IF(1&lt;=Inputs!$B$3,1,"")</f>
        <v>1</v>
      </c>
      <c r="B106" s="65">
        <f>IF($A106="","",Inputs!$B$9)</f>
        <v>0</v>
      </c>
      <c r="C106" s="44">
        <f>IF($A106="","",Inputs!$B$4*12*(1+Inputs!$B$10/100)^($A106-1))</f>
        <v>4800</v>
      </c>
      <c r="D106" s="44">
        <f>IF($A106="","",B106*((Inputs!$B$5-2)/100))</f>
        <v>0</v>
      </c>
      <c r="E106" s="64">
        <f>IF($A106="","",IFERROR(IF(OR(Inputs!$B$8&lt;=0,Inputs!$B$8=""),0,IF(AND($A106&gt;=Inputs!$B$8,MOD($A106,Inputs!$B$8)=0),Inputs!$B$7*(1+Inputs!$B$6/100)^$A106,0)),0))</f>
        <v>0</v>
      </c>
      <c r="F106" s="44">
        <f t="shared" ref="F106:F137" si="18">IF($A106="","",IFERROR(B106+C106+D106-E106,0))</f>
        <v>4800</v>
      </c>
      <c r="G106" s="44">
        <f t="shared" ref="G106:G137" si="19">IF($A106="",0,IF(IFERROR(D106,0)&gt;IFERROR(C106,0),1,0))</f>
        <v>0</v>
      </c>
      <c r="H106" s="44"/>
      <c r="I106" s="44"/>
      <c r="J106" s="44"/>
      <c r="K106" s="44"/>
      <c r="L106" s="44"/>
      <c r="M106" s="44"/>
      <c r="N106" s="44"/>
      <c r="O106" s="44"/>
      <c r="P106" s="44"/>
      <c r="Q106" s="44"/>
      <c r="R106" s="44"/>
      <c r="S106" s="44"/>
      <c r="T106" s="44"/>
      <c r="U106" s="44"/>
      <c r="V106" s="44"/>
      <c r="W106" s="44"/>
      <c r="X106" s="44"/>
      <c r="Y106" s="44"/>
      <c r="Z106" s="44"/>
      <c r="AA106" s="44"/>
      <c r="AB106" s="44"/>
      <c r="AC106" s="44"/>
    </row>
    <row r="107" spans="1:29" ht="15" customHeight="1" x14ac:dyDescent="0.25">
      <c r="A107" s="1">
        <f>IF(2&lt;=Inputs!$B$3,2,"")</f>
        <v>2</v>
      </c>
      <c r="B107" s="44">
        <f t="shared" ref="B107:B138" si="20">IF($A107="","",IFERROR(F106,0))</f>
        <v>4800</v>
      </c>
      <c r="C107" s="44">
        <f>IF($A107="","",Inputs!$B$4*12*(1+Inputs!$B$10/100)^($A107-1))</f>
        <v>4800</v>
      </c>
      <c r="D107" s="44">
        <f>IF($A107="","",B107*((Inputs!$B$5-2)/100))</f>
        <v>240</v>
      </c>
      <c r="E107" s="64">
        <f>IF($A107="","",IFERROR(IF(OR(Inputs!$B$8&lt;=0,Inputs!$B$8=""),0,IF(AND($A107&gt;=Inputs!$B$8,MOD($A107,Inputs!$B$8)=0),Inputs!$B$7*(1+Inputs!$B$6/100)^$A107,0)),0))</f>
        <v>0</v>
      </c>
      <c r="F107" s="44">
        <f t="shared" si="18"/>
        <v>9840</v>
      </c>
      <c r="G107" s="44">
        <f t="shared" si="19"/>
        <v>0</v>
      </c>
      <c r="H107" s="44"/>
      <c r="I107" s="44"/>
      <c r="J107" s="44"/>
      <c r="K107" s="44"/>
      <c r="L107" s="44"/>
      <c r="M107" s="44"/>
      <c r="N107" s="44"/>
      <c r="O107" s="44"/>
      <c r="P107" s="44"/>
      <c r="Q107" s="44"/>
      <c r="R107" s="44"/>
      <c r="S107" s="44"/>
      <c r="T107" s="44"/>
      <c r="U107" s="44"/>
      <c r="V107" s="44"/>
      <c r="W107" s="44"/>
      <c r="X107" s="44"/>
      <c r="Y107" s="44"/>
      <c r="Z107" s="44"/>
      <c r="AA107" s="44"/>
      <c r="AB107" s="44"/>
      <c r="AC107" s="44"/>
    </row>
    <row r="108" spans="1:29" ht="15" customHeight="1" x14ac:dyDescent="0.25">
      <c r="A108" s="1">
        <f>IF(3&lt;=Inputs!$B$3,3,"")</f>
        <v>3</v>
      </c>
      <c r="B108" s="44">
        <f t="shared" si="20"/>
        <v>9840</v>
      </c>
      <c r="C108" s="44">
        <f>IF($A108="","",Inputs!$B$4*12*(1+Inputs!$B$10/100)^($A108-1))</f>
        <v>4800</v>
      </c>
      <c r="D108" s="44">
        <f>IF($A108="","",B108*((Inputs!$B$5-2)/100))</f>
        <v>492</v>
      </c>
      <c r="E108" s="64">
        <f>IF($A108="","",IFERROR(IF(OR(Inputs!$B$8&lt;=0,Inputs!$B$8=""),0,IF(AND($A108&gt;=Inputs!$B$8,MOD($A108,Inputs!$B$8)=0),Inputs!$B$7*(1+Inputs!$B$6/100)^$A108,0)),0))</f>
        <v>0</v>
      </c>
      <c r="F108" s="44">
        <f t="shared" si="18"/>
        <v>15132</v>
      </c>
      <c r="G108" s="44">
        <f t="shared" si="19"/>
        <v>0</v>
      </c>
      <c r="H108" s="44"/>
      <c r="I108" s="44"/>
      <c r="J108" s="44"/>
      <c r="K108" s="44"/>
      <c r="L108" s="44"/>
      <c r="M108" s="44"/>
      <c r="N108" s="44"/>
      <c r="O108" s="44"/>
      <c r="P108" s="44"/>
      <c r="Q108" s="44"/>
      <c r="R108" s="44"/>
      <c r="S108" s="44"/>
      <c r="T108" s="44"/>
      <c r="U108" s="44"/>
      <c r="V108" s="44"/>
      <c r="W108" s="44"/>
      <c r="X108" s="44"/>
      <c r="Y108" s="44"/>
      <c r="Z108" s="44"/>
      <c r="AA108" s="44"/>
      <c r="AB108" s="44"/>
      <c r="AC108" s="44"/>
    </row>
    <row r="109" spans="1:29" ht="15" customHeight="1" x14ac:dyDescent="0.25">
      <c r="A109" s="1">
        <f>IF(4&lt;=Inputs!$B$3,4,"")</f>
        <v>4</v>
      </c>
      <c r="B109" s="44">
        <f t="shared" si="20"/>
        <v>15132</v>
      </c>
      <c r="C109" s="44">
        <f>IF($A109="","",Inputs!$B$4*12*(1+Inputs!$B$10/100)^($A109-1))</f>
        <v>4800</v>
      </c>
      <c r="D109" s="44">
        <f>IF($A109="","",B109*((Inputs!$B$5-2)/100))</f>
        <v>756.6</v>
      </c>
      <c r="E109" s="64">
        <f>IF($A109="","",IFERROR(IF(OR(Inputs!$B$8&lt;=0,Inputs!$B$8=""),0,IF(AND($A109&gt;=Inputs!$B$8,MOD($A109,Inputs!$B$8)=0),Inputs!$B$7*(1+Inputs!$B$6/100)^$A109,0)),0))</f>
        <v>0</v>
      </c>
      <c r="F109" s="44">
        <f t="shared" si="18"/>
        <v>20688.599999999999</v>
      </c>
      <c r="G109" s="44">
        <f t="shared" si="19"/>
        <v>0</v>
      </c>
      <c r="H109" s="44"/>
      <c r="I109" s="44"/>
      <c r="J109" s="44"/>
      <c r="K109" s="44"/>
      <c r="L109" s="44"/>
      <c r="M109" s="44"/>
      <c r="N109" s="44"/>
      <c r="O109" s="44"/>
      <c r="P109" s="44"/>
      <c r="Q109" s="44"/>
      <c r="R109" s="44"/>
      <c r="S109" s="44"/>
      <c r="T109" s="44"/>
      <c r="U109" s="44"/>
      <c r="V109" s="44"/>
      <c r="W109" s="44"/>
      <c r="X109" s="44"/>
      <c r="Y109" s="44"/>
      <c r="Z109" s="44"/>
      <c r="AA109" s="44"/>
      <c r="AB109" s="44"/>
      <c r="AC109" s="44"/>
    </row>
    <row r="110" spans="1:29" ht="15" customHeight="1" x14ac:dyDescent="0.25">
      <c r="A110" s="1">
        <f>IF(5&lt;=Inputs!$B$3,5,"")</f>
        <v>5</v>
      </c>
      <c r="B110" s="44">
        <f t="shared" si="20"/>
        <v>20688.599999999999</v>
      </c>
      <c r="C110" s="44">
        <f>IF($A110="","",Inputs!$B$4*12*(1+Inputs!$B$10/100)^($A110-1))</f>
        <v>4800</v>
      </c>
      <c r="D110" s="44">
        <f>IF($A110="","",B110*((Inputs!$B$5-2)/100))</f>
        <v>1034.43</v>
      </c>
      <c r="E110" s="64">
        <f>IF($A110="","",IFERROR(IF(OR(Inputs!$B$8&lt;=0,Inputs!$B$8=""),0,IF(AND($A110&gt;=Inputs!$B$8,MOD($A110,Inputs!$B$8)=0),Inputs!$B$7*(1+Inputs!$B$6/100)^$A110,0)),0))</f>
        <v>0</v>
      </c>
      <c r="F110" s="44">
        <f t="shared" si="18"/>
        <v>26523.03</v>
      </c>
      <c r="G110" s="44">
        <f t="shared" si="19"/>
        <v>0</v>
      </c>
      <c r="H110" s="44"/>
      <c r="I110" s="44"/>
      <c r="J110" s="44"/>
      <c r="K110" s="44"/>
      <c r="L110" s="44"/>
      <c r="M110" s="44"/>
      <c r="N110" s="44"/>
      <c r="O110" s="44"/>
      <c r="P110" s="44"/>
      <c r="Q110" s="44"/>
      <c r="R110" s="44"/>
      <c r="S110" s="44"/>
      <c r="T110" s="44"/>
      <c r="U110" s="44"/>
      <c r="V110" s="44"/>
      <c r="W110" s="44"/>
      <c r="X110" s="44"/>
      <c r="Y110" s="44"/>
      <c r="Z110" s="44"/>
      <c r="AA110" s="44"/>
      <c r="AB110" s="44"/>
      <c r="AC110" s="44"/>
    </row>
    <row r="111" spans="1:29" ht="15" customHeight="1" x14ac:dyDescent="0.25">
      <c r="A111" s="1">
        <f>IF(6&lt;=Inputs!$B$3,6,"")</f>
        <v>6</v>
      </c>
      <c r="B111" s="44">
        <f t="shared" si="20"/>
        <v>26523.03</v>
      </c>
      <c r="C111" s="44">
        <f>IF($A111="","",Inputs!$B$4*12*(1+Inputs!$B$10/100)^($A111-1))</f>
        <v>4800</v>
      </c>
      <c r="D111" s="44">
        <f>IF($A111="","",B111*((Inputs!$B$5-2)/100))</f>
        <v>1326.1514999999999</v>
      </c>
      <c r="E111" s="64">
        <f>IF($A111="","",IFERROR(IF(OR(Inputs!$B$8&lt;=0,Inputs!$B$8=""),0,IF(AND($A111&gt;=Inputs!$B$8,MOD($A111,Inputs!$B$8)=0),Inputs!$B$7*(1+Inputs!$B$6/100)^$A111,0)),0))</f>
        <v>0</v>
      </c>
      <c r="F111" s="44">
        <f t="shared" si="18"/>
        <v>32649.181499999999</v>
      </c>
      <c r="G111" s="44">
        <f t="shared" si="19"/>
        <v>0</v>
      </c>
      <c r="H111" s="44"/>
      <c r="I111" s="44"/>
      <c r="J111" s="44"/>
      <c r="K111" s="44"/>
      <c r="L111" s="44"/>
      <c r="M111" s="44"/>
      <c r="N111" s="44"/>
      <c r="O111" s="44"/>
      <c r="P111" s="44"/>
      <c r="Q111" s="44"/>
      <c r="R111" s="44"/>
      <c r="S111" s="44"/>
      <c r="T111" s="44"/>
      <c r="U111" s="44"/>
      <c r="V111" s="44"/>
      <c r="W111" s="44"/>
      <c r="X111" s="44"/>
      <c r="Y111" s="44"/>
      <c r="Z111" s="44"/>
      <c r="AA111" s="44"/>
      <c r="AB111" s="44"/>
      <c r="AC111" s="44"/>
    </row>
    <row r="112" spans="1:29" ht="15" customHeight="1" x14ac:dyDescent="0.25">
      <c r="A112" s="1">
        <f>IF(7&lt;=Inputs!$B$3,7,"")</f>
        <v>7</v>
      </c>
      <c r="B112" s="44">
        <f t="shared" si="20"/>
        <v>32649.181499999999</v>
      </c>
      <c r="C112" s="44">
        <f>IF($A112="","",Inputs!$B$4*12*(1+Inputs!$B$10/100)^($A112-1))</f>
        <v>4800</v>
      </c>
      <c r="D112" s="44">
        <f>IF($A112="","",B112*((Inputs!$B$5-2)/100))</f>
        <v>1632.459075</v>
      </c>
      <c r="E112" s="64">
        <f>IF($A112="","",IFERROR(IF(OR(Inputs!$B$8&lt;=0,Inputs!$B$8=""),0,IF(AND($A112&gt;=Inputs!$B$8,MOD($A112,Inputs!$B$8)=0),Inputs!$B$7*(1+Inputs!$B$6/100)^$A112,0)),0))</f>
        <v>24597.4773084974</v>
      </c>
      <c r="F112" s="44">
        <f t="shared" si="18"/>
        <v>14484.163266502597</v>
      </c>
      <c r="G112" s="44">
        <f t="shared" si="19"/>
        <v>0</v>
      </c>
      <c r="H112" s="44"/>
      <c r="I112" s="44"/>
      <c r="J112" s="44"/>
      <c r="K112" s="44"/>
      <c r="L112" s="44"/>
      <c r="M112" s="44"/>
      <c r="N112" s="44"/>
      <c r="O112" s="44"/>
      <c r="P112" s="44"/>
      <c r="Q112" s="44"/>
      <c r="R112" s="44"/>
      <c r="S112" s="44"/>
      <c r="T112" s="44"/>
      <c r="U112" s="44"/>
      <c r="V112" s="44"/>
      <c r="W112" s="44"/>
      <c r="X112" s="44"/>
      <c r="Y112" s="44"/>
      <c r="Z112" s="44"/>
      <c r="AA112" s="44"/>
      <c r="AB112" s="44"/>
      <c r="AC112" s="44"/>
    </row>
    <row r="113" spans="1:29" ht="15" customHeight="1" x14ac:dyDescent="0.25">
      <c r="A113" s="1">
        <f>IF(8&lt;=Inputs!$B$3,8,"")</f>
        <v>8</v>
      </c>
      <c r="B113" s="44">
        <f t="shared" si="20"/>
        <v>14484.163266502597</v>
      </c>
      <c r="C113" s="44">
        <f>IF($A113="","",Inputs!$B$4*12*(1+Inputs!$B$10/100)^($A113-1))</f>
        <v>4800</v>
      </c>
      <c r="D113" s="44">
        <f>IF($A113="","",B113*((Inputs!$B$5-2)/100))</f>
        <v>724.20816332512993</v>
      </c>
      <c r="E113" s="64">
        <f>IF($A113="","",IFERROR(IF(OR(Inputs!$B$8&lt;=0,Inputs!$B$8=""),0,IF(AND($A113&gt;=Inputs!$B$8,MOD($A113,Inputs!$B$8)=0),Inputs!$B$7*(1+Inputs!$B$6/100)^$A113,0)),0))</f>
        <v>0</v>
      </c>
      <c r="F113" s="44">
        <f t="shared" si="18"/>
        <v>20008.371429827726</v>
      </c>
      <c r="G113" s="44">
        <f t="shared" si="19"/>
        <v>0</v>
      </c>
      <c r="H113" s="44"/>
      <c r="I113" s="44"/>
      <c r="J113" s="44"/>
      <c r="K113" s="44"/>
      <c r="L113" s="44"/>
      <c r="M113" s="44"/>
      <c r="N113" s="44"/>
      <c r="O113" s="44"/>
      <c r="P113" s="44"/>
      <c r="Q113" s="44"/>
      <c r="R113" s="44"/>
      <c r="S113" s="44"/>
      <c r="T113" s="44"/>
      <c r="U113" s="44"/>
      <c r="V113" s="44"/>
      <c r="W113" s="44"/>
      <c r="X113" s="44"/>
      <c r="Y113" s="44"/>
      <c r="Z113" s="44"/>
      <c r="AA113" s="44"/>
      <c r="AB113" s="44"/>
      <c r="AC113" s="44"/>
    </row>
    <row r="114" spans="1:29" ht="15" customHeight="1" x14ac:dyDescent="0.25">
      <c r="A114" s="1">
        <f>IF(9&lt;=Inputs!$B$3,9,"")</f>
        <v>9</v>
      </c>
      <c r="B114" s="44">
        <f t="shared" si="20"/>
        <v>20008.371429827726</v>
      </c>
      <c r="C114" s="44">
        <f>IF($A114="","",Inputs!$B$4*12*(1+Inputs!$B$10/100)^($A114-1))</f>
        <v>4800</v>
      </c>
      <c r="D114" s="44">
        <f>IF($A114="","",B114*((Inputs!$B$5-2)/100))</f>
        <v>1000.4185714913864</v>
      </c>
      <c r="E114" s="64">
        <f>IF($A114="","",IFERROR(IF(OR(Inputs!$B$8&lt;=0,Inputs!$B$8=""),0,IF(AND($A114&gt;=Inputs!$B$8,MOD($A114,Inputs!$B$8)=0),Inputs!$B$7*(1+Inputs!$B$6/100)^$A114,0)),0))</f>
        <v>0</v>
      </c>
      <c r="F114" s="44">
        <f t="shared" si="18"/>
        <v>25808.790001319114</v>
      </c>
      <c r="G114" s="44">
        <f t="shared" si="19"/>
        <v>0</v>
      </c>
      <c r="H114" s="44"/>
      <c r="I114" s="44"/>
      <c r="J114" s="44"/>
      <c r="K114" s="44"/>
      <c r="L114" s="44"/>
      <c r="M114" s="44"/>
      <c r="N114" s="44"/>
      <c r="O114" s="44"/>
      <c r="P114" s="44"/>
      <c r="Q114" s="44"/>
      <c r="R114" s="44"/>
      <c r="S114" s="44"/>
      <c r="T114" s="44"/>
      <c r="U114" s="44"/>
      <c r="V114" s="44"/>
      <c r="W114" s="44"/>
      <c r="X114" s="44"/>
      <c r="Y114" s="44"/>
      <c r="Z114" s="44"/>
      <c r="AA114" s="44"/>
      <c r="AB114" s="44"/>
      <c r="AC114" s="44"/>
    </row>
    <row r="115" spans="1:29" ht="15" customHeight="1" x14ac:dyDescent="0.25">
      <c r="A115" s="1">
        <f>IF(10&lt;=Inputs!$B$3,10,"")</f>
        <v>10</v>
      </c>
      <c r="B115" s="44">
        <f t="shared" si="20"/>
        <v>25808.790001319114</v>
      </c>
      <c r="C115" s="44">
        <f>IF($A115="","",Inputs!$B$4*12*(1+Inputs!$B$10/100)^($A115-1))</f>
        <v>4800</v>
      </c>
      <c r="D115" s="44">
        <f>IF($A115="","",B115*((Inputs!$B$5-2)/100))</f>
        <v>1290.4395000659558</v>
      </c>
      <c r="E115" s="64">
        <f>IF($A115="","",IFERROR(IF(OR(Inputs!$B$8&lt;=0,Inputs!$B$8=""),0,IF(AND($A115&gt;=Inputs!$B$8,MOD($A115,Inputs!$B$8)=0),Inputs!$B$7*(1+Inputs!$B$6/100)^$A115,0)),0))</f>
        <v>0</v>
      </c>
      <c r="F115" s="44">
        <f t="shared" si="18"/>
        <v>31899.229501385071</v>
      </c>
      <c r="G115" s="44">
        <f t="shared" si="19"/>
        <v>0</v>
      </c>
      <c r="H115" s="44"/>
      <c r="I115" s="44"/>
      <c r="J115" s="44"/>
      <c r="K115" s="44"/>
      <c r="L115" s="44"/>
      <c r="M115" s="44"/>
      <c r="N115" s="44"/>
      <c r="O115" s="44"/>
      <c r="P115" s="44"/>
      <c r="Q115" s="44"/>
      <c r="R115" s="44"/>
      <c r="S115" s="44"/>
      <c r="T115" s="44"/>
      <c r="U115" s="44"/>
      <c r="V115" s="44"/>
      <c r="W115" s="44"/>
      <c r="X115" s="44"/>
      <c r="Y115" s="44"/>
      <c r="Z115" s="44"/>
      <c r="AA115" s="44"/>
      <c r="AB115" s="44"/>
      <c r="AC115" s="44"/>
    </row>
    <row r="116" spans="1:29" ht="15" customHeight="1" x14ac:dyDescent="0.25">
      <c r="A116" s="1">
        <f>IF(11&lt;=Inputs!$B$3,11,"")</f>
        <v>11</v>
      </c>
      <c r="B116" s="44">
        <f t="shared" si="20"/>
        <v>31899.229501385071</v>
      </c>
      <c r="C116" s="44">
        <f>IF($A116="","",Inputs!$B$4*12*(1+Inputs!$B$10/100)^($A116-1))</f>
        <v>4800</v>
      </c>
      <c r="D116" s="44">
        <f>IF($A116="","",B116*((Inputs!$B$5-2)/100))</f>
        <v>1594.9614750692535</v>
      </c>
      <c r="E116" s="64">
        <f>IF($A116="","",IFERROR(IF(OR(Inputs!$B$8&lt;=0,Inputs!$B$8=""),0,IF(AND($A116&gt;=Inputs!$B$8,MOD($A116,Inputs!$B$8)=0),Inputs!$B$7*(1+Inputs!$B$6/100)^$A116,0)),0))</f>
        <v>0</v>
      </c>
      <c r="F116" s="44">
        <f t="shared" si="18"/>
        <v>38294.190976454323</v>
      </c>
      <c r="G116" s="44">
        <f t="shared" si="19"/>
        <v>0</v>
      </c>
      <c r="H116" s="44"/>
      <c r="I116" s="44"/>
      <c r="J116" s="44"/>
      <c r="K116" s="44"/>
      <c r="L116" s="44"/>
      <c r="M116" s="44"/>
      <c r="N116" s="44"/>
      <c r="O116" s="44"/>
      <c r="P116" s="44"/>
      <c r="Q116" s="44"/>
      <c r="R116" s="44"/>
      <c r="S116" s="44"/>
      <c r="T116" s="44"/>
      <c r="U116" s="44"/>
      <c r="V116" s="44"/>
      <c r="W116" s="44"/>
      <c r="X116" s="44"/>
      <c r="Y116" s="44"/>
      <c r="Z116" s="44"/>
      <c r="AA116" s="44"/>
      <c r="AB116" s="44"/>
      <c r="AC116" s="44"/>
    </row>
    <row r="117" spans="1:29" ht="15" customHeight="1" x14ac:dyDescent="0.25">
      <c r="A117" s="1">
        <f>IF(12&lt;=Inputs!$B$3,12,"")</f>
        <v>12</v>
      </c>
      <c r="B117" s="44">
        <f t="shared" si="20"/>
        <v>38294.190976454323</v>
      </c>
      <c r="C117" s="44">
        <f>IF($A117="","",Inputs!$B$4*12*(1+Inputs!$B$10/100)^($A117-1))</f>
        <v>4800</v>
      </c>
      <c r="D117" s="44">
        <f>IF($A117="","",B117*((Inputs!$B$5-2)/100))</f>
        <v>1914.7095488227162</v>
      </c>
      <c r="E117" s="64">
        <f>IF($A117="","",IFERROR(IF(OR(Inputs!$B$8&lt;=0,Inputs!$B$8=""),0,IF(AND($A117&gt;=Inputs!$B$8,MOD($A117,Inputs!$B$8)=0),Inputs!$B$7*(1+Inputs!$B$6/100)^$A117,0)),0))</f>
        <v>0</v>
      </c>
      <c r="F117" s="44">
        <f t="shared" si="18"/>
        <v>45008.900525277037</v>
      </c>
      <c r="G117" s="44">
        <f t="shared" si="19"/>
        <v>0</v>
      </c>
      <c r="H117" s="44"/>
      <c r="I117" s="44"/>
      <c r="J117" s="44"/>
      <c r="K117" s="44"/>
      <c r="L117" s="44"/>
      <c r="M117" s="44"/>
      <c r="N117" s="44"/>
      <c r="O117" s="44"/>
      <c r="P117" s="44"/>
      <c r="Q117" s="44"/>
      <c r="R117" s="44"/>
      <c r="S117" s="44"/>
      <c r="T117" s="44"/>
      <c r="U117" s="44"/>
      <c r="V117" s="44"/>
      <c r="W117" s="44"/>
      <c r="X117" s="44"/>
      <c r="Y117" s="44"/>
      <c r="Z117" s="44"/>
      <c r="AA117" s="44"/>
      <c r="AB117" s="44"/>
      <c r="AC117" s="44"/>
    </row>
    <row r="118" spans="1:29" ht="15" customHeight="1" x14ac:dyDescent="0.25">
      <c r="A118" s="1">
        <f>IF(13&lt;=Inputs!$B$3,13,"")</f>
        <v>13</v>
      </c>
      <c r="B118" s="44">
        <f t="shared" si="20"/>
        <v>45008.900525277037</v>
      </c>
      <c r="C118" s="44">
        <f>IF($A118="","",Inputs!$B$4*12*(1+Inputs!$B$10/100)^($A118-1))</f>
        <v>4800</v>
      </c>
      <c r="D118" s="44">
        <f>IF($A118="","",B118*((Inputs!$B$5-2)/100))</f>
        <v>2250.445026263852</v>
      </c>
      <c r="E118" s="64">
        <f>IF($A118="","",IFERROR(IF(OR(Inputs!$B$8&lt;=0,Inputs!$B$8=""),0,IF(AND($A118&gt;=Inputs!$B$8,MOD($A118,Inputs!$B$8)=0),Inputs!$B$7*(1+Inputs!$B$6/100)^$A118,0)),0))</f>
        <v>0</v>
      </c>
      <c r="F118" s="44">
        <f t="shared" si="18"/>
        <v>52059.345551540886</v>
      </c>
      <c r="G118" s="44">
        <f t="shared" si="19"/>
        <v>0</v>
      </c>
      <c r="H118" s="44"/>
      <c r="I118" s="44"/>
      <c r="J118" s="44"/>
      <c r="K118" s="44"/>
      <c r="L118" s="44"/>
      <c r="M118" s="44"/>
      <c r="N118" s="44"/>
      <c r="O118" s="44"/>
      <c r="P118" s="44"/>
      <c r="Q118" s="44"/>
      <c r="R118" s="44"/>
      <c r="S118" s="44"/>
      <c r="T118" s="44"/>
      <c r="U118" s="44"/>
      <c r="V118" s="44"/>
      <c r="W118" s="44"/>
      <c r="X118" s="44"/>
      <c r="Y118" s="44"/>
      <c r="Z118" s="44"/>
      <c r="AA118" s="44"/>
      <c r="AB118" s="44"/>
      <c r="AC118" s="44"/>
    </row>
    <row r="119" spans="1:29" ht="15" customHeight="1" x14ac:dyDescent="0.25">
      <c r="A119" s="1">
        <f>IF(14&lt;=Inputs!$B$3,14,"")</f>
        <v>14</v>
      </c>
      <c r="B119" s="44">
        <f t="shared" si="20"/>
        <v>52059.345551540886</v>
      </c>
      <c r="C119" s="44">
        <f>IF($A119="","",Inputs!$B$4*12*(1+Inputs!$B$10/100)^($A119-1))</f>
        <v>4800</v>
      </c>
      <c r="D119" s="44">
        <f>IF($A119="","",B119*((Inputs!$B$5-2)/100))</f>
        <v>2602.9672775770446</v>
      </c>
      <c r="E119" s="64">
        <f>IF($A119="","",IFERROR(IF(OR(Inputs!$B$8&lt;=0,Inputs!$B$8=""),0,IF(AND($A119&gt;=Inputs!$B$8,MOD($A119,Inputs!$B$8)=0),Inputs!$B$7*(1+Inputs!$B$6/100)^$A119,0)),0))</f>
        <v>30251.794497102219</v>
      </c>
      <c r="F119" s="44">
        <f t="shared" si="18"/>
        <v>29210.518332015712</v>
      </c>
      <c r="G119" s="44">
        <f t="shared" si="19"/>
        <v>0</v>
      </c>
      <c r="H119" s="44"/>
      <c r="I119" s="44"/>
      <c r="J119" s="44"/>
      <c r="K119" s="44"/>
      <c r="L119" s="44"/>
      <c r="M119" s="44"/>
      <c r="N119" s="44"/>
      <c r="O119" s="44"/>
      <c r="P119" s="44"/>
      <c r="Q119" s="44"/>
      <c r="R119" s="44"/>
      <c r="S119" s="44"/>
      <c r="T119" s="44"/>
      <c r="U119" s="44"/>
      <c r="V119" s="44"/>
      <c r="W119" s="44"/>
      <c r="X119" s="44"/>
      <c r="Y119" s="44"/>
      <c r="Z119" s="44"/>
      <c r="AA119" s="44"/>
      <c r="AB119" s="44"/>
      <c r="AC119" s="44"/>
    </row>
    <row r="120" spans="1:29" ht="15" customHeight="1" x14ac:dyDescent="0.25">
      <c r="A120" s="1">
        <f>IF(15&lt;=Inputs!$B$3,15,"")</f>
        <v>15</v>
      </c>
      <c r="B120" s="44">
        <f t="shared" si="20"/>
        <v>29210.518332015712</v>
      </c>
      <c r="C120" s="44">
        <f>IF($A120="","",Inputs!$B$4*12*(1+Inputs!$B$10/100)^($A120-1))</f>
        <v>4800</v>
      </c>
      <c r="D120" s="44">
        <f>IF($A120="","",B120*((Inputs!$B$5-2)/100))</f>
        <v>1460.5259166007856</v>
      </c>
      <c r="E120" s="64">
        <f>IF($A120="","",IFERROR(IF(OR(Inputs!$B$8&lt;=0,Inputs!$B$8=""),0,IF(AND($A120&gt;=Inputs!$B$8,MOD($A120,Inputs!$B$8)=0),Inputs!$B$7*(1+Inputs!$B$6/100)^$A120,0)),0))</f>
        <v>0</v>
      </c>
      <c r="F120" s="44">
        <f t="shared" si="18"/>
        <v>35471.044248616497</v>
      </c>
      <c r="G120" s="44">
        <f t="shared" si="19"/>
        <v>0</v>
      </c>
      <c r="H120" s="44"/>
      <c r="I120" s="44"/>
      <c r="J120" s="44"/>
      <c r="K120" s="44"/>
      <c r="L120" s="44"/>
      <c r="M120" s="44"/>
      <c r="N120" s="44"/>
      <c r="O120" s="44"/>
      <c r="P120" s="44"/>
      <c r="Q120" s="44"/>
      <c r="R120" s="44"/>
      <c r="S120" s="44"/>
      <c r="T120" s="44"/>
      <c r="U120" s="44"/>
      <c r="V120" s="44"/>
      <c r="W120" s="44"/>
      <c r="X120" s="44"/>
      <c r="Y120" s="44"/>
      <c r="Z120" s="44"/>
      <c r="AA120" s="44"/>
      <c r="AB120" s="44"/>
      <c r="AC120" s="44"/>
    </row>
    <row r="121" spans="1:29" ht="15" customHeight="1" x14ac:dyDescent="0.25">
      <c r="A121" s="1">
        <f>IF(16&lt;=Inputs!$B$3,16,"")</f>
        <v>16</v>
      </c>
      <c r="B121" s="44">
        <f t="shared" si="20"/>
        <v>35471.044248616497</v>
      </c>
      <c r="C121" s="44">
        <f>IF($A121="","",Inputs!$B$4*12*(1+Inputs!$B$10/100)^($A121-1))</f>
        <v>4800</v>
      </c>
      <c r="D121" s="44">
        <f>IF($A121="","",B121*((Inputs!$B$5-2)/100))</f>
        <v>1773.552212430825</v>
      </c>
      <c r="E121" s="64">
        <f>IF($A121="","",IFERROR(IF(OR(Inputs!$B$8&lt;=0,Inputs!$B$8=""),0,IF(AND($A121&gt;=Inputs!$B$8,MOD($A121,Inputs!$B$8)=0),Inputs!$B$7*(1+Inputs!$B$6/100)^$A121,0)),0))</f>
        <v>0</v>
      </c>
      <c r="F121" s="44">
        <f t="shared" si="18"/>
        <v>42044.596461047324</v>
      </c>
      <c r="G121" s="44">
        <f t="shared" si="19"/>
        <v>0</v>
      </c>
      <c r="H121" s="44"/>
      <c r="I121" s="44"/>
      <c r="J121" s="44"/>
      <c r="K121" s="44"/>
      <c r="L121" s="44"/>
      <c r="M121" s="44"/>
      <c r="N121" s="44"/>
      <c r="O121" s="44"/>
      <c r="P121" s="44"/>
      <c r="Q121" s="44"/>
      <c r="R121" s="44"/>
      <c r="S121" s="44"/>
      <c r="T121" s="44"/>
      <c r="U121" s="44"/>
      <c r="V121" s="44"/>
      <c r="W121" s="44"/>
      <c r="X121" s="44"/>
      <c r="Y121" s="44"/>
      <c r="Z121" s="44"/>
      <c r="AA121" s="44"/>
      <c r="AB121" s="44"/>
      <c r="AC121" s="44"/>
    </row>
    <row r="122" spans="1:29" ht="15" customHeight="1" x14ac:dyDescent="0.25">
      <c r="A122" s="1">
        <f>IF(17&lt;=Inputs!$B$3,17,"")</f>
        <v>17</v>
      </c>
      <c r="B122" s="44">
        <f t="shared" si="20"/>
        <v>42044.596461047324</v>
      </c>
      <c r="C122" s="44">
        <f>IF($A122="","",Inputs!$B$4*12*(1+Inputs!$B$10/100)^($A122-1))</f>
        <v>4800</v>
      </c>
      <c r="D122" s="44">
        <f>IF($A122="","",B122*((Inputs!$B$5-2)/100))</f>
        <v>2102.2298230523661</v>
      </c>
      <c r="E122" s="64">
        <f>IF($A122="","",IFERROR(IF(OR(Inputs!$B$8&lt;=0,Inputs!$B$8=""),0,IF(AND($A122&gt;=Inputs!$B$8,MOD($A122,Inputs!$B$8)=0),Inputs!$B$7*(1+Inputs!$B$6/100)^$A122,0)),0))</f>
        <v>0</v>
      </c>
      <c r="F122" s="44">
        <f t="shared" si="18"/>
        <v>48946.82628409969</v>
      </c>
      <c r="G122" s="44">
        <f t="shared" si="19"/>
        <v>0</v>
      </c>
      <c r="H122" s="44"/>
      <c r="I122" s="44"/>
      <c r="J122" s="44"/>
      <c r="K122" s="44"/>
      <c r="L122" s="44"/>
      <c r="M122" s="44"/>
      <c r="N122" s="44"/>
      <c r="O122" s="44"/>
      <c r="P122" s="44"/>
      <c r="Q122" s="44"/>
      <c r="R122" s="44"/>
      <c r="S122" s="44"/>
      <c r="T122" s="44"/>
      <c r="U122" s="44"/>
      <c r="V122" s="44"/>
      <c r="W122" s="44"/>
      <c r="X122" s="44"/>
      <c r="Y122" s="44"/>
      <c r="Z122" s="44"/>
      <c r="AA122" s="44"/>
      <c r="AB122" s="44"/>
      <c r="AC122" s="44"/>
    </row>
    <row r="123" spans="1:29" ht="15" customHeight="1" x14ac:dyDescent="0.25">
      <c r="A123" s="1">
        <f>IF(18&lt;=Inputs!$B$3,18,"")</f>
        <v>18</v>
      </c>
      <c r="B123" s="44">
        <f t="shared" si="20"/>
        <v>48946.82628409969</v>
      </c>
      <c r="C123" s="44">
        <f>IF($A123="","",Inputs!$B$4*12*(1+Inputs!$B$10/100)^($A123-1))</f>
        <v>4800</v>
      </c>
      <c r="D123" s="44">
        <f>IF($A123="","",B123*((Inputs!$B$5-2)/100))</f>
        <v>2447.3413142049844</v>
      </c>
      <c r="E123" s="64">
        <f>IF($A123="","",IFERROR(IF(OR(Inputs!$B$8&lt;=0,Inputs!$B$8=""),0,IF(AND($A123&gt;=Inputs!$B$8,MOD($A123,Inputs!$B$8)=0),Inputs!$B$7*(1+Inputs!$B$6/100)^$A123,0)),0))</f>
        <v>0</v>
      </c>
      <c r="F123" s="44">
        <f t="shared" si="18"/>
        <v>56194.167598304673</v>
      </c>
      <c r="G123" s="44">
        <f t="shared" si="19"/>
        <v>0</v>
      </c>
      <c r="H123" s="44"/>
      <c r="I123" s="44"/>
      <c r="J123" s="44"/>
      <c r="K123" s="44"/>
      <c r="L123" s="44"/>
      <c r="M123" s="44"/>
      <c r="N123" s="44"/>
      <c r="O123" s="44"/>
      <c r="P123" s="44"/>
      <c r="Q123" s="44"/>
      <c r="R123" s="44"/>
      <c r="S123" s="44"/>
      <c r="T123" s="44"/>
      <c r="U123" s="44"/>
      <c r="V123" s="44"/>
      <c r="W123" s="44"/>
      <c r="X123" s="44"/>
      <c r="Y123" s="44"/>
      <c r="Z123" s="44"/>
      <c r="AA123" s="44"/>
      <c r="AB123" s="44"/>
      <c r="AC123" s="44"/>
    </row>
    <row r="124" spans="1:29" ht="15" customHeight="1" x14ac:dyDescent="0.25">
      <c r="A124" s="1">
        <f>IF(19&lt;=Inputs!$B$3,19,"")</f>
        <v>19</v>
      </c>
      <c r="B124" s="44">
        <f t="shared" si="20"/>
        <v>56194.167598304673</v>
      </c>
      <c r="C124" s="44">
        <f>IF($A124="","",Inputs!$B$4*12*(1+Inputs!$B$10/100)^($A124-1))</f>
        <v>4800</v>
      </c>
      <c r="D124" s="44">
        <f>IF($A124="","",B124*((Inputs!$B$5-2)/100))</f>
        <v>2809.7083799152338</v>
      </c>
      <c r="E124" s="64">
        <f>IF($A124="","",IFERROR(IF(OR(Inputs!$B$8&lt;=0,Inputs!$B$8=""),0,IF(AND($A124&gt;=Inputs!$B$8,MOD($A124,Inputs!$B$8)=0),Inputs!$B$7*(1+Inputs!$B$6/100)^$A124,0)),0))</f>
        <v>0</v>
      </c>
      <c r="F124" s="44">
        <f t="shared" si="18"/>
        <v>63803.875978219905</v>
      </c>
      <c r="G124" s="44">
        <f t="shared" si="19"/>
        <v>0</v>
      </c>
      <c r="H124" s="44"/>
      <c r="I124" s="44"/>
      <c r="J124" s="44"/>
      <c r="K124" s="44"/>
      <c r="L124" s="44"/>
      <c r="M124" s="44"/>
      <c r="N124" s="44"/>
      <c r="O124" s="44"/>
      <c r="P124" s="44"/>
      <c r="Q124" s="44"/>
      <c r="R124" s="44"/>
      <c r="S124" s="44"/>
      <c r="T124" s="44"/>
      <c r="U124" s="44"/>
      <c r="V124" s="44"/>
      <c r="W124" s="44"/>
      <c r="X124" s="44"/>
      <c r="Y124" s="44"/>
      <c r="Z124" s="44"/>
      <c r="AA124" s="44"/>
      <c r="AB124" s="44"/>
      <c r="AC124" s="44"/>
    </row>
    <row r="125" spans="1:29" ht="15" customHeight="1" x14ac:dyDescent="0.25">
      <c r="A125" s="1">
        <f>IF(20&lt;=Inputs!$B$3,20,"")</f>
        <v>20</v>
      </c>
      <c r="B125" s="44">
        <f t="shared" si="20"/>
        <v>63803.875978219905</v>
      </c>
      <c r="C125" s="44">
        <f>IF($A125="","",Inputs!$B$4*12*(1+Inputs!$B$10/100)^($A125-1))</f>
        <v>4800</v>
      </c>
      <c r="D125" s="44">
        <f>IF($A125="","",B125*((Inputs!$B$5-2)/100))</f>
        <v>3190.1937989109956</v>
      </c>
      <c r="E125" s="64">
        <f>IF($A125="","",IFERROR(IF(OR(Inputs!$B$8&lt;=0,Inputs!$B$8=""),0,IF(AND($A125&gt;=Inputs!$B$8,MOD($A125,Inputs!$B$8)=0),Inputs!$B$7*(1+Inputs!$B$6/100)^$A125,0)),0))</f>
        <v>0</v>
      </c>
      <c r="F125" s="44">
        <f t="shared" si="18"/>
        <v>71794.069777130906</v>
      </c>
      <c r="G125" s="44">
        <f t="shared" si="19"/>
        <v>0</v>
      </c>
      <c r="H125" s="44"/>
      <c r="I125" s="44"/>
      <c r="J125" s="44"/>
      <c r="K125" s="44"/>
      <c r="L125" s="44"/>
      <c r="M125" s="44"/>
      <c r="N125" s="44"/>
      <c r="O125" s="44"/>
      <c r="P125" s="44"/>
      <c r="Q125" s="44"/>
      <c r="R125" s="44"/>
      <c r="S125" s="44"/>
      <c r="T125" s="44"/>
      <c r="U125" s="44"/>
      <c r="V125" s="44"/>
      <c r="W125" s="44"/>
      <c r="X125" s="44"/>
      <c r="Y125" s="44"/>
      <c r="Z125" s="44"/>
      <c r="AA125" s="44"/>
      <c r="AB125" s="44"/>
      <c r="AC125" s="44"/>
    </row>
    <row r="126" spans="1:29" ht="15" customHeight="1" x14ac:dyDescent="0.25">
      <c r="A126" s="1">
        <f>IF(21&lt;=Inputs!$B$3,21,"")</f>
        <v>21</v>
      </c>
      <c r="B126" s="44">
        <f t="shared" si="20"/>
        <v>71794.069777130906</v>
      </c>
      <c r="C126" s="44">
        <f>IF($A126="","",Inputs!$B$4*12*(1+Inputs!$B$10/100)^($A126-1))</f>
        <v>4800</v>
      </c>
      <c r="D126" s="44">
        <f>IF($A126="","",B126*((Inputs!$B$5-2)/100))</f>
        <v>3589.7034888565454</v>
      </c>
      <c r="E126" s="64">
        <f>IF($A126="","",IFERROR(IF(OR(Inputs!$B$8&lt;=0,Inputs!$B$8=""),0,IF(AND($A126&gt;=Inputs!$B$8,MOD($A126,Inputs!$B$8)=0),Inputs!$B$7*(1+Inputs!$B$6/100)^$A126,0)),0))</f>
        <v>37205.891434189907</v>
      </c>
      <c r="F126" s="44">
        <f t="shared" si="18"/>
        <v>42977.881831797538</v>
      </c>
      <c r="G126" s="44">
        <f t="shared" si="19"/>
        <v>0</v>
      </c>
      <c r="H126" s="44"/>
      <c r="I126" s="44"/>
      <c r="J126" s="44"/>
      <c r="K126" s="44"/>
      <c r="L126" s="44"/>
      <c r="M126" s="44"/>
      <c r="N126" s="44"/>
      <c r="O126" s="44"/>
      <c r="P126" s="44"/>
      <c r="Q126" s="44"/>
      <c r="R126" s="44"/>
      <c r="S126" s="44"/>
      <c r="T126" s="44"/>
      <c r="U126" s="44"/>
      <c r="V126" s="44"/>
      <c r="W126" s="44"/>
      <c r="X126" s="44"/>
      <c r="Y126" s="44"/>
      <c r="Z126" s="44"/>
      <c r="AA126" s="44"/>
      <c r="AB126" s="44"/>
      <c r="AC126" s="44"/>
    </row>
    <row r="127" spans="1:29" ht="15" customHeight="1" x14ac:dyDescent="0.25">
      <c r="A127" s="1">
        <f>IF(22&lt;=Inputs!$B$3,22,"")</f>
        <v>22</v>
      </c>
      <c r="B127" s="44">
        <f t="shared" si="20"/>
        <v>42977.881831797538</v>
      </c>
      <c r="C127" s="44">
        <f>IF($A127="","",Inputs!$B$4*12*(1+Inputs!$B$10/100)^($A127-1))</f>
        <v>4800</v>
      </c>
      <c r="D127" s="44">
        <f>IF($A127="","",B127*((Inputs!$B$5-2)/100))</f>
        <v>2148.894091589877</v>
      </c>
      <c r="E127" s="64">
        <f>IF($A127="","",IFERROR(IF(OR(Inputs!$B$8&lt;=0,Inputs!$B$8=""),0,IF(AND($A127&gt;=Inputs!$B$8,MOD($A127,Inputs!$B$8)=0),Inputs!$B$7*(1+Inputs!$B$6/100)^$A127,0)),0))</f>
        <v>0</v>
      </c>
      <c r="F127" s="44">
        <f t="shared" si="18"/>
        <v>49926.775923387417</v>
      </c>
      <c r="G127" s="44">
        <f t="shared" si="19"/>
        <v>0</v>
      </c>
      <c r="H127" s="44"/>
      <c r="I127" s="44"/>
      <c r="J127" s="44"/>
      <c r="K127" s="44"/>
      <c r="L127" s="44"/>
      <c r="M127" s="44"/>
      <c r="N127" s="44"/>
      <c r="O127" s="44"/>
      <c r="P127" s="44"/>
      <c r="Q127" s="44"/>
      <c r="R127" s="44"/>
      <c r="S127" s="44"/>
      <c r="T127" s="44"/>
      <c r="U127" s="44"/>
      <c r="V127" s="44"/>
      <c r="W127" s="44"/>
      <c r="X127" s="44"/>
      <c r="Y127" s="44"/>
      <c r="Z127" s="44"/>
      <c r="AA127" s="44"/>
      <c r="AB127" s="44"/>
      <c r="AC127" s="44"/>
    </row>
    <row r="128" spans="1:29" ht="15" customHeight="1" x14ac:dyDescent="0.25">
      <c r="A128" s="1">
        <f>IF(23&lt;=Inputs!$B$3,23,"")</f>
        <v>23</v>
      </c>
      <c r="B128" s="44">
        <f t="shared" si="20"/>
        <v>49926.775923387417</v>
      </c>
      <c r="C128" s="44">
        <f>IF($A128="","",Inputs!$B$4*12*(1+Inputs!$B$10/100)^($A128-1))</f>
        <v>4800</v>
      </c>
      <c r="D128" s="44">
        <f>IF($A128="","",B128*((Inputs!$B$5-2)/100))</f>
        <v>2496.3387961693711</v>
      </c>
      <c r="E128" s="64">
        <f>IF($A128="","",IFERROR(IF(OR(Inputs!$B$8&lt;=0,Inputs!$B$8=""),0,IF(AND($A128&gt;=Inputs!$B$8,MOD($A128,Inputs!$B$8)=0),Inputs!$B$7*(1+Inputs!$B$6/100)^$A128,0)),0))</f>
        <v>0</v>
      </c>
      <c r="F128" s="44">
        <f t="shared" si="18"/>
        <v>57223.11471955679</v>
      </c>
      <c r="G128" s="44">
        <f t="shared" si="19"/>
        <v>0</v>
      </c>
      <c r="H128" s="44"/>
      <c r="I128" s="44"/>
      <c r="J128" s="44"/>
      <c r="K128" s="44"/>
      <c r="L128" s="44"/>
      <c r="M128" s="44"/>
      <c r="N128" s="44"/>
      <c r="O128" s="44"/>
      <c r="P128" s="44"/>
      <c r="Q128" s="44"/>
      <c r="R128" s="44"/>
      <c r="S128" s="44"/>
      <c r="T128" s="44"/>
      <c r="U128" s="44"/>
      <c r="V128" s="44"/>
      <c r="W128" s="44"/>
      <c r="X128" s="44"/>
      <c r="Y128" s="44"/>
      <c r="Z128" s="44"/>
      <c r="AA128" s="44"/>
      <c r="AB128" s="44"/>
      <c r="AC128" s="44"/>
    </row>
    <row r="129" spans="1:29" ht="15" customHeight="1" x14ac:dyDescent="0.25">
      <c r="A129" s="1">
        <f>IF(24&lt;=Inputs!$B$3,24,"")</f>
        <v>24</v>
      </c>
      <c r="B129" s="44">
        <f t="shared" si="20"/>
        <v>57223.11471955679</v>
      </c>
      <c r="C129" s="44">
        <f>IF($A129="","",Inputs!$B$4*12*(1+Inputs!$B$10/100)^($A129-1))</f>
        <v>4800</v>
      </c>
      <c r="D129" s="44">
        <f>IF($A129="","",B129*((Inputs!$B$5-2)/100))</f>
        <v>2861.1557359778399</v>
      </c>
      <c r="E129" s="64">
        <f>IF($A129="","",IFERROR(IF(OR(Inputs!$B$8&lt;=0,Inputs!$B$8=""),0,IF(AND($A129&gt;=Inputs!$B$8,MOD($A129,Inputs!$B$8)=0),Inputs!$B$7*(1+Inputs!$B$6/100)^$A129,0)),0))</f>
        <v>0</v>
      </c>
      <c r="F129" s="44">
        <f t="shared" si="18"/>
        <v>64884.270455534628</v>
      </c>
      <c r="G129" s="44">
        <f t="shared" si="19"/>
        <v>0</v>
      </c>
      <c r="H129" s="44"/>
      <c r="I129" s="44"/>
      <c r="J129" s="44"/>
      <c r="K129" s="44"/>
      <c r="L129" s="44"/>
      <c r="M129" s="44"/>
      <c r="N129" s="44"/>
      <c r="O129" s="44"/>
      <c r="P129" s="44"/>
      <c r="Q129" s="44"/>
      <c r="R129" s="44"/>
      <c r="S129" s="44"/>
      <c r="T129" s="44"/>
      <c r="U129" s="44"/>
      <c r="V129" s="44"/>
      <c r="W129" s="44"/>
      <c r="X129" s="44"/>
      <c r="Y129" s="44"/>
      <c r="Z129" s="44"/>
      <c r="AA129" s="44"/>
      <c r="AB129" s="44"/>
      <c r="AC129" s="44"/>
    </row>
    <row r="130" spans="1:29" ht="15" customHeight="1" x14ac:dyDescent="0.25">
      <c r="A130" s="1">
        <f>IF(25&lt;=Inputs!$B$3,25,"")</f>
        <v>25</v>
      </c>
      <c r="B130" s="44">
        <f t="shared" si="20"/>
        <v>64884.270455534628</v>
      </c>
      <c r="C130" s="44">
        <f>IF($A130="","",Inputs!$B$4*12*(1+Inputs!$B$10/100)^($A130-1))</f>
        <v>4800</v>
      </c>
      <c r="D130" s="44">
        <f>IF($A130="","",B130*((Inputs!$B$5-2)/100))</f>
        <v>3244.2135227767317</v>
      </c>
      <c r="E130" s="64">
        <f>IF($A130="","",IFERROR(IF(OR(Inputs!$B$8&lt;=0,Inputs!$B$8=""),0,IF(AND($A130&gt;=Inputs!$B$8,MOD($A130,Inputs!$B$8)=0),Inputs!$B$7*(1+Inputs!$B$6/100)^$A130,0)),0))</f>
        <v>0</v>
      </c>
      <c r="F130" s="44">
        <f t="shared" si="18"/>
        <v>72928.483978311357</v>
      </c>
      <c r="G130" s="44">
        <f t="shared" si="19"/>
        <v>0</v>
      </c>
      <c r="H130" s="44"/>
      <c r="I130" s="44"/>
      <c r="J130" s="44"/>
      <c r="K130" s="44"/>
      <c r="L130" s="44"/>
      <c r="M130" s="44"/>
      <c r="N130" s="44"/>
      <c r="O130" s="44"/>
      <c r="P130" s="44"/>
      <c r="Q130" s="44"/>
      <c r="R130" s="44"/>
      <c r="S130" s="44"/>
      <c r="T130" s="44"/>
      <c r="U130" s="44"/>
      <c r="V130" s="44"/>
      <c r="W130" s="44"/>
      <c r="X130" s="44"/>
      <c r="Y130" s="44"/>
      <c r="Z130" s="44"/>
      <c r="AA130" s="44"/>
      <c r="AB130" s="44"/>
      <c r="AC130" s="44"/>
    </row>
    <row r="131" spans="1:29" ht="15" customHeight="1" x14ac:dyDescent="0.25">
      <c r="A131" s="1">
        <f>IF(26&lt;=Inputs!$B$3,26,"")</f>
        <v>26</v>
      </c>
      <c r="B131" s="44">
        <f t="shared" si="20"/>
        <v>72928.483978311357</v>
      </c>
      <c r="C131" s="44">
        <f>IF($A131="","",Inputs!$B$4*12*(1+Inputs!$B$10/100)^($A131-1))</f>
        <v>4800</v>
      </c>
      <c r="D131" s="44">
        <f>IF($A131="","",B131*((Inputs!$B$5-2)/100))</f>
        <v>3646.424198915568</v>
      </c>
      <c r="E131" s="64">
        <f>IF($A131="","",IFERROR(IF(OR(Inputs!$B$8&lt;=0,Inputs!$B$8=""),0,IF(AND($A131&gt;=Inputs!$B$8,MOD($A131,Inputs!$B$8)=0),Inputs!$B$7*(1+Inputs!$B$6/100)^$A131,0)),0))</f>
        <v>0</v>
      </c>
      <c r="F131" s="44">
        <f t="shared" si="18"/>
        <v>81374.908177226927</v>
      </c>
      <c r="G131" s="44">
        <f t="shared" si="19"/>
        <v>0</v>
      </c>
      <c r="H131" s="44"/>
      <c r="I131" s="44"/>
      <c r="J131" s="44"/>
      <c r="K131" s="44"/>
      <c r="L131" s="44"/>
      <c r="M131" s="44"/>
      <c r="N131" s="44"/>
      <c r="O131" s="44"/>
      <c r="P131" s="44"/>
      <c r="Q131" s="44"/>
      <c r="R131" s="44"/>
      <c r="S131" s="44"/>
      <c r="T131" s="44"/>
      <c r="U131" s="44"/>
      <c r="V131" s="44"/>
      <c r="W131" s="44"/>
      <c r="X131" s="44"/>
      <c r="Y131" s="44"/>
      <c r="Z131" s="44"/>
      <c r="AA131" s="44"/>
      <c r="AB131" s="44"/>
      <c r="AC131" s="44"/>
    </row>
    <row r="132" spans="1:29" ht="15" customHeight="1" x14ac:dyDescent="0.25">
      <c r="A132" s="1">
        <f>IF(27&lt;=Inputs!$B$3,27,"")</f>
        <v>27</v>
      </c>
      <c r="B132" s="44">
        <f t="shared" si="20"/>
        <v>81374.908177226927</v>
      </c>
      <c r="C132" s="44">
        <f>IF($A132="","",Inputs!$B$4*12*(1+Inputs!$B$10/100)^($A132-1))</f>
        <v>4800</v>
      </c>
      <c r="D132" s="44">
        <f>IF($A132="","",B132*((Inputs!$B$5-2)/100))</f>
        <v>4068.7454088613467</v>
      </c>
      <c r="E132" s="64">
        <f>IF($A132="","",IFERROR(IF(OR(Inputs!$B$8&lt;=0,Inputs!$B$8=""),0,IF(AND($A132&gt;=Inputs!$B$8,MOD($A132,Inputs!$B$8)=0),Inputs!$B$7*(1+Inputs!$B$6/100)^$A132,0)),0))</f>
        <v>0</v>
      </c>
      <c r="F132" s="44">
        <f t="shared" si="18"/>
        <v>90243.653586088272</v>
      </c>
      <c r="G132" s="44">
        <f t="shared" si="19"/>
        <v>0</v>
      </c>
      <c r="H132" s="44"/>
      <c r="I132" s="44"/>
      <c r="J132" s="44"/>
      <c r="K132" s="44"/>
      <c r="L132" s="44"/>
      <c r="M132" s="44"/>
      <c r="N132" s="44"/>
      <c r="O132" s="44"/>
      <c r="P132" s="44"/>
      <c r="Q132" s="44"/>
      <c r="R132" s="44"/>
      <c r="S132" s="44"/>
      <c r="T132" s="44"/>
      <c r="U132" s="44"/>
      <c r="V132" s="44"/>
      <c r="W132" s="44"/>
      <c r="X132" s="44"/>
      <c r="Y132" s="44"/>
      <c r="Z132" s="44"/>
      <c r="AA132" s="44"/>
      <c r="AB132" s="44"/>
      <c r="AC132" s="44"/>
    </row>
    <row r="133" spans="1:29" ht="15" customHeight="1" x14ac:dyDescent="0.25">
      <c r="A133" s="1">
        <f>IF(28&lt;=Inputs!$B$3,28,"")</f>
        <v>28</v>
      </c>
      <c r="B133" s="44">
        <f t="shared" si="20"/>
        <v>90243.653586088272</v>
      </c>
      <c r="C133" s="44">
        <f>IF($A133="","",Inputs!$B$4*12*(1+Inputs!$B$10/100)^($A133-1))</f>
        <v>4800</v>
      </c>
      <c r="D133" s="44">
        <f>IF($A133="","",B133*((Inputs!$B$5-2)/100))</f>
        <v>4512.1826793044138</v>
      </c>
      <c r="E133" s="64">
        <f>IF($A133="","",IFERROR(IF(OR(Inputs!$B$8&lt;=0,Inputs!$B$8=""),0,IF(AND($A133&gt;=Inputs!$B$8,MOD($A133,Inputs!$B$8)=0),Inputs!$B$7*(1+Inputs!$B$6/100)^$A133,0)),0))</f>
        <v>45758.553514745203</v>
      </c>
      <c r="F133" s="44">
        <f t="shared" si="18"/>
        <v>53797.282750647486</v>
      </c>
      <c r="G133" s="44">
        <f t="shared" si="19"/>
        <v>0</v>
      </c>
      <c r="H133" s="44"/>
      <c r="I133" s="44"/>
      <c r="J133" s="44"/>
      <c r="K133" s="44"/>
      <c r="L133" s="44"/>
      <c r="M133" s="44"/>
      <c r="N133" s="44"/>
      <c r="O133" s="44"/>
      <c r="P133" s="44"/>
      <c r="Q133" s="44"/>
      <c r="R133" s="44"/>
      <c r="S133" s="44"/>
      <c r="T133" s="44"/>
      <c r="U133" s="44"/>
      <c r="V133" s="44"/>
      <c r="W133" s="44"/>
      <c r="X133" s="44"/>
      <c r="Y133" s="44"/>
      <c r="Z133" s="44"/>
      <c r="AA133" s="44"/>
      <c r="AB133" s="44"/>
      <c r="AC133" s="44"/>
    </row>
    <row r="134" spans="1:29" ht="15" customHeight="1" x14ac:dyDescent="0.25">
      <c r="A134" s="1">
        <f>IF(29&lt;=Inputs!$B$3,29,"")</f>
        <v>29</v>
      </c>
      <c r="B134" s="44">
        <f t="shared" si="20"/>
        <v>53797.282750647486</v>
      </c>
      <c r="C134" s="44">
        <f>IF($A134="","",Inputs!$B$4*12*(1+Inputs!$B$10/100)^($A134-1))</f>
        <v>4800</v>
      </c>
      <c r="D134" s="44">
        <f>IF($A134="","",B134*((Inputs!$B$5-2)/100))</f>
        <v>2689.8641375323746</v>
      </c>
      <c r="E134" s="64">
        <f>IF($A134="","",IFERROR(IF(OR(Inputs!$B$8&lt;=0,Inputs!$B$8=""),0,IF(AND($A134&gt;=Inputs!$B$8,MOD($A134,Inputs!$B$8)=0),Inputs!$B$7*(1+Inputs!$B$6/100)^$A134,0)),0))</f>
        <v>0</v>
      </c>
      <c r="F134" s="44">
        <f t="shared" si="18"/>
        <v>61287.146888179857</v>
      </c>
      <c r="G134" s="44">
        <f t="shared" si="19"/>
        <v>0</v>
      </c>
      <c r="H134" s="44"/>
      <c r="I134" s="44"/>
      <c r="J134" s="44"/>
      <c r="K134" s="44"/>
      <c r="L134" s="44"/>
      <c r="M134" s="44"/>
      <c r="N134" s="44"/>
      <c r="O134" s="44"/>
      <c r="P134" s="44"/>
      <c r="Q134" s="44"/>
      <c r="R134" s="44"/>
      <c r="S134" s="44"/>
      <c r="T134" s="44"/>
      <c r="U134" s="44"/>
      <c r="V134" s="44"/>
      <c r="W134" s="44"/>
      <c r="X134" s="44"/>
      <c r="Y134" s="44"/>
      <c r="Z134" s="44"/>
      <c r="AA134" s="44"/>
      <c r="AB134" s="44"/>
      <c r="AC134" s="44"/>
    </row>
    <row r="135" spans="1:29" ht="15" customHeight="1" x14ac:dyDescent="0.25">
      <c r="A135" s="1">
        <f>IF(30&lt;=Inputs!$B$3,30,"")</f>
        <v>30</v>
      </c>
      <c r="B135" s="44">
        <f t="shared" si="20"/>
        <v>61287.146888179857</v>
      </c>
      <c r="C135" s="44">
        <f>IF($A135="","",Inputs!$B$4*12*(1+Inputs!$B$10/100)^($A135-1))</f>
        <v>4800</v>
      </c>
      <c r="D135" s="44">
        <f>IF($A135="","",B135*((Inputs!$B$5-2)/100))</f>
        <v>3064.357344408993</v>
      </c>
      <c r="E135" s="64">
        <f>IF($A135="","",IFERROR(IF(OR(Inputs!$B$8&lt;=0,Inputs!$B$8=""),0,IF(AND($A135&gt;=Inputs!$B$8,MOD($A135,Inputs!$B$8)=0),Inputs!$B$7*(1+Inputs!$B$6/100)^$A135,0)),0))</f>
        <v>0</v>
      </c>
      <c r="F135" s="44">
        <f t="shared" si="18"/>
        <v>69151.50423258885</v>
      </c>
      <c r="G135" s="44">
        <f t="shared" si="19"/>
        <v>0</v>
      </c>
      <c r="H135" s="44"/>
      <c r="I135" s="44"/>
      <c r="J135" s="44"/>
      <c r="K135" s="44"/>
      <c r="L135" s="44"/>
      <c r="M135" s="44"/>
      <c r="N135" s="44"/>
      <c r="O135" s="44"/>
      <c r="P135" s="44"/>
      <c r="Q135" s="44"/>
      <c r="R135" s="44"/>
      <c r="S135" s="44"/>
      <c r="T135" s="44"/>
      <c r="U135" s="44"/>
      <c r="V135" s="44"/>
      <c r="W135" s="44"/>
      <c r="X135" s="44"/>
      <c r="Y135" s="44"/>
      <c r="Z135" s="44"/>
      <c r="AA135" s="44"/>
      <c r="AB135" s="44"/>
      <c r="AC135" s="44"/>
    </row>
    <row r="136" spans="1:29" ht="15" customHeight="1" x14ac:dyDescent="0.25">
      <c r="A136" s="1">
        <f>IF(31&lt;=Inputs!$B$3,31,"")</f>
        <v>31</v>
      </c>
      <c r="B136" s="44">
        <f t="shared" si="20"/>
        <v>69151.50423258885</v>
      </c>
      <c r="C136" s="44">
        <f>IF($A136="","",Inputs!$B$4*12*(1+Inputs!$B$10/100)^($A136-1))</f>
        <v>4800</v>
      </c>
      <c r="D136" s="44">
        <f>IF($A136="","",B136*((Inputs!$B$5-2)/100))</f>
        <v>3457.5752116294425</v>
      </c>
      <c r="E136" s="64">
        <f>IF($A136="","",IFERROR(IF(OR(Inputs!$B$8&lt;=0,Inputs!$B$8=""),0,IF(AND($A136&gt;=Inputs!$B$8,MOD($A136,Inputs!$B$8)=0),Inputs!$B$7*(1+Inputs!$B$6/100)^$A136,0)),0))</f>
        <v>0</v>
      </c>
      <c r="F136" s="44">
        <f t="shared" si="18"/>
        <v>77409.079444218296</v>
      </c>
      <c r="G136" s="44">
        <f t="shared" si="19"/>
        <v>0</v>
      </c>
      <c r="H136" s="44"/>
      <c r="I136" s="44"/>
      <c r="J136" s="44"/>
      <c r="K136" s="44"/>
      <c r="L136" s="44"/>
      <c r="M136" s="44"/>
      <c r="N136" s="44"/>
      <c r="O136" s="44"/>
      <c r="P136" s="44"/>
      <c r="Q136" s="44"/>
      <c r="R136" s="44"/>
      <c r="S136" s="44"/>
      <c r="T136" s="44"/>
      <c r="U136" s="44"/>
      <c r="V136" s="44"/>
      <c r="W136" s="44"/>
      <c r="X136" s="44"/>
      <c r="Y136" s="44"/>
      <c r="Z136" s="44"/>
      <c r="AA136" s="44"/>
      <c r="AB136" s="44"/>
      <c r="AC136" s="44"/>
    </row>
    <row r="137" spans="1:29" ht="15" customHeight="1" x14ac:dyDescent="0.25">
      <c r="A137" s="1">
        <f>IF(32&lt;=Inputs!$B$3,32,"")</f>
        <v>32</v>
      </c>
      <c r="B137" s="44">
        <f t="shared" si="20"/>
        <v>77409.079444218296</v>
      </c>
      <c r="C137" s="44">
        <f>IF($A137="","",Inputs!$B$4*12*(1+Inputs!$B$10/100)^($A137-1))</f>
        <v>4800</v>
      </c>
      <c r="D137" s="44">
        <f>IF($A137="","",B137*((Inputs!$B$5-2)/100))</f>
        <v>3870.4539722109148</v>
      </c>
      <c r="E137" s="64">
        <f>IF($A137="","",IFERROR(IF(OR(Inputs!$B$8&lt;=0,Inputs!$B$8=""),0,IF(AND($A137&gt;=Inputs!$B$8,MOD($A137,Inputs!$B$8)=0),Inputs!$B$7*(1+Inputs!$B$6/100)^$A137,0)),0))</f>
        <v>0</v>
      </c>
      <c r="F137" s="44">
        <f t="shared" si="18"/>
        <v>86079.533416429214</v>
      </c>
      <c r="G137" s="44">
        <f t="shared" si="19"/>
        <v>0</v>
      </c>
      <c r="H137" s="44"/>
      <c r="I137" s="44"/>
      <c r="J137" s="44"/>
      <c r="K137" s="44"/>
      <c r="L137" s="44"/>
      <c r="M137" s="44"/>
      <c r="N137" s="44"/>
      <c r="O137" s="44"/>
      <c r="P137" s="44"/>
      <c r="Q137" s="44"/>
      <c r="R137" s="44"/>
      <c r="S137" s="44"/>
      <c r="T137" s="44"/>
      <c r="U137" s="44"/>
      <c r="V137" s="44"/>
      <c r="W137" s="44"/>
      <c r="X137" s="44"/>
      <c r="Y137" s="44"/>
      <c r="Z137" s="44"/>
      <c r="AA137" s="44"/>
      <c r="AB137" s="44"/>
      <c r="AC137" s="44"/>
    </row>
    <row r="138" spans="1:29" ht="15" customHeight="1" x14ac:dyDescent="0.25">
      <c r="A138" s="1">
        <f>IF(33&lt;=Inputs!$B$3,33,"")</f>
        <v>33</v>
      </c>
      <c r="B138" s="44">
        <f t="shared" si="20"/>
        <v>86079.533416429214</v>
      </c>
      <c r="C138" s="44">
        <f>IF($A138="","",Inputs!$B$4*12*(1+Inputs!$B$10/100)^($A138-1))</f>
        <v>4800</v>
      </c>
      <c r="D138" s="44">
        <f>IF($A138="","",B138*((Inputs!$B$5-2)/100))</f>
        <v>4303.9766708214611</v>
      </c>
      <c r="E138" s="64">
        <f>IF($A138="","",IFERROR(IF(OR(Inputs!$B$8&lt;=0,Inputs!$B$8=""),0,IF(AND($A138&gt;=Inputs!$B$8,MOD($A138,Inputs!$B$8)=0),Inputs!$B$7*(1+Inputs!$B$6/100)^$A138,0)),0))</f>
        <v>0</v>
      </c>
      <c r="F138" s="44">
        <f t="shared" ref="F138:F169" si="21">IF($A138="","",IFERROR(B138+C138+D138-E138,0))</f>
        <v>95183.510087250674</v>
      </c>
      <c r="G138" s="44">
        <f t="shared" ref="G138:G169" si="22">IF($A138="",0,IF(IFERROR(D138,0)&gt;IFERROR(C138,0),1,0))</f>
        <v>0</v>
      </c>
      <c r="H138" s="44"/>
      <c r="I138" s="44"/>
      <c r="J138" s="44"/>
      <c r="K138" s="44"/>
      <c r="L138" s="44"/>
      <c r="M138" s="44"/>
      <c r="N138" s="44"/>
      <c r="O138" s="44"/>
      <c r="P138" s="44"/>
      <c r="Q138" s="44"/>
      <c r="R138" s="44"/>
      <c r="S138" s="44"/>
      <c r="T138" s="44"/>
      <c r="U138" s="44"/>
      <c r="V138" s="44"/>
      <c r="W138" s="44"/>
      <c r="X138" s="44"/>
      <c r="Y138" s="44"/>
      <c r="Z138" s="44"/>
      <c r="AA138" s="44"/>
      <c r="AB138" s="44"/>
      <c r="AC138" s="44"/>
    </row>
    <row r="139" spans="1:29" ht="15" customHeight="1" x14ac:dyDescent="0.25">
      <c r="A139" s="1">
        <f>IF(34&lt;=Inputs!$B$3,34,"")</f>
        <v>34</v>
      </c>
      <c r="B139" s="44">
        <f t="shared" ref="B139:B170" si="23">IF($A139="","",IFERROR(F138,0))</f>
        <v>95183.510087250674</v>
      </c>
      <c r="C139" s="44">
        <f>IF($A139="","",Inputs!$B$4*12*(1+Inputs!$B$10/100)^($A139-1))</f>
        <v>4800</v>
      </c>
      <c r="D139" s="44">
        <f>IF($A139="","",B139*((Inputs!$B$5-2)/100))</f>
        <v>4759.1755043625335</v>
      </c>
      <c r="E139" s="64">
        <f>IF($A139="","",IFERROR(IF(OR(Inputs!$B$8&lt;=0,Inputs!$B$8=""),0,IF(AND($A139&gt;=Inputs!$B$8,MOD($A139,Inputs!$B$8)=0),Inputs!$B$7*(1+Inputs!$B$6/100)^$A139,0)),0))</f>
        <v>0</v>
      </c>
      <c r="F139" s="44">
        <f t="shared" si="21"/>
        <v>104742.6855916132</v>
      </c>
      <c r="G139" s="44">
        <f t="shared" si="22"/>
        <v>0</v>
      </c>
      <c r="H139" s="44"/>
      <c r="I139" s="44"/>
      <c r="J139" s="44"/>
      <c r="K139" s="44"/>
      <c r="L139" s="44"/>
      <c r="M139" s="44"/>
      <c r="N139" s="44"/>
      <c r="O139" s="44"/>
      <c r="P139" s="44"/>
      <c r="Q139" s="44"/>
      <c r="R139" s="44"/>
      <c r="S139" s="44"/>
      <c r="T139" s="44"/>
      <c r="U139" s="44"/>
      <c r="V139" s="44"/>
      <c r="W139" s="44"/>
      <c r="X139" s="44"/>
      <c r="Y139" s="44"/>
      <c r="Z139" s="44"/>
      <c r="AA139" s="44"/>
      <c r="AB139" s="44"/>
      <c r="AC139" s="44"/>
    </row>
    <row r="140" spans="1:29" ht="15" customHeight="1" x14ac:dyDescent="0.25">
      <c r="A140" s="1">
        <f>IF(35&lt;=Inputs!$B$3,35,"")</f>
        <v>35</v>
      </c>
      <c r="B140" s="44">
        <f t="shared" si="23"/>
        <v>104742.6855916132</v>
      </c>
      <c r="C140" s="44">
        <f>IF($A140="","",Inputs!$B$4*12*(1+Inputs!$B$10/100)^($A140-1))</f>
        <v>4800</v>
      </c>
      <c r="D140" s="44">
        <f>IF($A140="","",B140*((Inputs!$B$5-2)/100))</f>
        <v>5237.1342795806604</v>
      </c>
      <c r="E140" s="64">
        <f>IF($A140="","",IFERROR(IF(OR(Inputs!$B$8&lt;=0,Inputs!$B$8=""),0,IF(AND($A140&gt;=Inputs!$B$8,MOD($A140,Inputs!$B$8)=0),Inputs!$B$7*(1+Inputs!$B$6/100)^$A140,0)),0))</f>
        <v>56277.249087430449</v>
      </c>
      <c r="F140" s="44">
        <f t="shared" si="21"/>
        <v>58502.570783763411</v>
      </c>
      <c r="G140" s="44">
        <f t="shared" si="22"/>
        <v>1</v>
      </c>
      <c r="H140" s="44"/>
      <c r="I140" s="44"/>
      <c r="J140" s="44"/>
      <c r="K140" s="44"/>
      <c r="L140" s="44"/>
      <c r="M140" s="44"/>
      <c r="N140" s="44"/>
      <c r="O140" s="44"/>
      <c r="P140" s="44"/>
      <c r="Q140" s="44"/>
      <c r="R140" s="44"/>
      <c r="S140" s="44"/>
      <c r="T140" s="44"/>
      <c r="U140" s="44"/>
      <c r="V140" s="44"/>
      <c r="W140" s="44"/>
      <c r="X140" s="44"/>
      <c r="Y140" s="44"/>
      <c r="Z140" s="44"/>
      <c r="AA140" s="44"/>
      <c r="AB140" s="44"/>
      <c r="AC140" s="44"/>
    </row>
    <row r="141" spans="1:29" ht="15" customHeight="1" x14ac:dyDescent="0.25">
      <c r="A141" s="1">
        <f>IF(36&lt;=Inputs!$B$3,36,"")</f>
        <v>36</v>
      </c>
      <c r="B141" s="44">
        <f t="shared" si="23"/>
        <v>58502.570783763411</v>
      </c>
      <c r="C141" s="44">
        <f>IF($A141="","",Inputs!$B$4*12*(1+Inputs!$B$10/100)^($A141-1))</f>
        <v>4800</v>
      </c>
      <c r="D141" s="44">
        <f>IF($A141="","",B141*((Inputs!$B$5-2)/100))</f>
        <v>2925.1285391881706</v>
      </c>
      <c r="E141" s="64">
        <f>IF($A141="","",IFERROR(IF(OR(Inputs!$B$8&lt;=0,Inputs!$B$8=""),0,IF(AND($A141&gt;=Inputs!$B$8,MOD($A141,Inputs!$B$8)=0),Inputs!$B$7*(1+Inputs!$B$6/100)^$A141,0)),0))</f>
        <v>0</v>
      </c>
      <c r="F141" s="44">
        <f t="shared" si="21"/>
        <v>66227.699322951579</v>
      </c>
      <c r="G141" s="44">
        <f t="shared" si="22"/>
        <v>0</v>
      </c>
      <c r="H141" s="44"/>
      <c r="I141" s="44"/>
      <c r="J141" s="44"/>
      <c r="K141" s="44"/>
      <c r="L141" s="44"/>
      <c r="M141" s="44"/>
      <c r="N141" s="44"/>
      <c r="O141" s="44"/>
      <c r="P141" s="44"/>
      <c r="Q141" s="44"/>
      <c r="R141" s="44"/>
      <c r="S141" s="44"/>
      <c r="T141" s="44"/>
      <c r="U141" s="44"/>
      <c r="V141" s="44"/>
      <c r="W141" s="44"/>
      <c r="X141" s="44"/>
      <c r="Y141" s="44"/>
      <c r="Z141" s="44"/>
      <c r="AA141" s="44"/>
      <c r="AB141" s="44"/>
      <c r="AC141" s="44"/>
    </row>
    <row r="142" spans="1:29" ht="15" customHeight="1" x14ac:dyDescent="0.25">
      <c r="A142" s="1">
        <f>IF(37&lt;=Inputs!$B$3,37,"")</f>
        <v>37</v>
      </c>
      <c r="B142" s="44">
        <f t="shared" si="23"/>
        <v>66227.699322951579</v>
      </c>
      <c r="C142" s="44">
        <f>IF($A142="","",Inputs!$B$4*12*(1+Inputs!$B$10/100)^($A142-1))</f>
        <v>4800</v>
      </c>
      <c r="D142" s="44">
        <f>IF($A142="","",B142*((Inputs!$B$5-2)/100))</f>
        <v>3311.3849661475792</v>
      </c>
      <c r="E142" s="64">
        <f>IF($A142="","",IFERROR(IF(OR(Inputs!$B$8&lt;=0,Inputs!$B$8=""),0,IF(AND($A142&gt;=Inputs!$B$8,MOD($A142,Inputs!$B$8)=0),Inputs!$B$7*(1+Inputs!$B$6/100)^$A142,0)),0))</f>
        <v>0</v>
      </c>
      <c r="F142" s="44">
        <f t="shared" si="21"/>
        <v>74339.084289099163</v>
      </c>
      <c r="G142" s="44">
        <f t="shared" si="22"/>
        <v>0</v>
      </c>
      <c r="H142" s="44"/>
      <c r="I142" s="44"/>
      <c r="J142" s="44"/>
      <c r="K142" s="44"/>
      <c r="L142" s="44"/>
      <c r="M142" s="44"/>
      <c r="N142" s="44"/>
      <c r="O142" s="44"/>
      <c r="P142" s="44"/>
      <c r="Q142" s="44"/>
      <c r="R142" s="44"/>
      <c r="S142" s="44"/>
      <c r="T142" s="44"/>
      <c r="U142" s="44"/>
      <c r="V142" s="44"/>
      <c r="W142" s="44"/>
      <c r="X142" s="44"/>
      <c r="Y142" s="44"/>
      <c r="Z142" s="44"/>
      <c r="AA142" s="44"/>
      <c r="AB142" s="44"/>
      <c r="AC142" s="44"/>
    </row>
    <row r="143" spans="1:29" ht="15" customHeight="1" x14ac:dyDescent="0.25">
      <c r="A143" s="1" t="str">
        <f>IF(38&lt;=Inputs!$B$3,38,"")</f>
        <v/>
      </c>
      <c r="B143" s="1" t="str">
        <f t="shared" si="23"/>
        <v/>
      </c>
      <c r="C143" s="44" t="str">
        <f>IF($A143="","",Inputs!$B$4*12*(1+Inputs!$B$10/100)^($A143-1))</f>
        <v/>
      </c>
      <c r="D143" s="44" t="str">
        <f>IF($A143="","",B143*((Inputs!$B$5-2)/100))</f>
        <v/>
      </c>
      <c r="E143" s="64" t="str">
        <f>IF($A143="","",IFERROR(IF(OR(Inputs!$B$8&lt;=0,Inputs!$B$8=""),0,IF(AND($A143&gt;=Inputs!$B$8,MOD($A143,Inputs!$B$8)=0),Inputs!$B$7*(1+Inputs!$B$6/100)^$A143,0)),0))</f>
        <v/>
      </c>
      <c r="F143" s="44" t="str">
        <f t="shared" si="21"/>
        <v/>
      </c>
      <c r="G143" s="44">
        <f t="shared" si="22"/>
        <v>0</v>
      </c>
      <c r="H143" s="44"/>
      <c r="I143" s="44"/>
      <c r="J143" s="44"/>
      <c r="K143" s="44"/>
      <c r="L143" s="44"/>
      <c r="M143" s="44"/>
      <c r="N143" s="44"/>
      <c r="O143" s="44"/>
      <c r="P143" s="44"/>
      <c r="Q143" s="44"/>
      <c r="R143" s="44"/>
      <c r="S143" s="44"/>
      <c r="T143" s="44"/>
      <c r="U143" s="44"/>
      <c r="V143" s="44"/>
      <c r="W143" s="44"/>
      <c r="X143" s="44"/>
      <c r="Y143" s="44"/>
      <c r="Z143" s="44"/>
      <c r="AA143" s="44"/>
      <c r="AB143" s="44"/>
      <c r="AC143" s="44"/>
    </row>
    <row r="144" spans="1:29" ht="15" customHeight="1" x14ac:dyDescent="0.25">
      <c r="A144" s="1" t="str">
        <f>IF(39&lt;=Inputs!$B$3,39,"")</f>
        <v/>
      </c>
      <c r="B144" s="1" t="str">
        <f t="shared" si="23"/>
        <v/>
      </c>
      <c r="C144" s="44" t="str">
        <f>IF($A144="","",Inputs!$B$4*12*(1+Inputs!$B$10/100)^($A144-1))</f>
        <v/>
      </c>
      <c r="D144" s="44" t="str">
        <f>IF($A144="","",B144*((Inputs!$B$5-2)/100))</f>
        <v/>
      </c>
      <c r="E144" s="64" t="str">
        <f>IF($A144="","",IFERROR(IF(OR(Inputs!$B$8&lt;=0,Inputs!$B$8=""),0,IF(AND($A144&gt;=Inputs!$B$8,MOD($A144,Inputs!$B$8)=0),Inputs!$B$7*(1+Inputs!$B$6/100)^$A144,0)),0))</f>
        <v/>
      </c>
      <c r="F144" s="44" t="str">
        <f t="shared" si="21"/>
        <v/>
      </c>
      <c r="G144" s="44">
        <f t="shared" si="22"/>
        <v>0</v>
      </c>
      <c r="H144" s="44"/>
      <c r="I144" s="44"/>
      <c r="J144" s="44"/>
      <c r="K144" s="44"/>
      <c r="L144" s="44"/>
      <c r="M144" s="44"/>
      <c r="N144" s="44"/>
      <c r="O144" s="44"/>
      <c r="P144" s="44"/>
      <c r="Q144" s="44"/>
      <c r="R144" s="44"/>
      <c r="S144" s="44"/>
      <c r="T144" s="44"/>
      <c r="U144" s="44"/>
      <c r="V144" s="44"/>
      <c r="W144" s="44"/>
      <c r="X144" s="44"/>
      <c r="Y144" s="44"/>
      <c r="Z144" s="44"/>
      <c r="AA144" s="44"/>
      <c r="AB144" s="44"/>
      <c r="AC144" s="44"/>
    </row>
    <row r="145" spans="1:29" ht="15" customHeight="1" x14ac:dyDescent="0.25">
      <c r="A145" s="1" t="str">
        <f>IF(40&lt;=Inputs!$B$3,40,"")</f>
        <v/>
      </c>
      <c r="B145" s="1" t="str">
        <f t="shared" si="23"/>
        <v/>
      </c>
      <c r="C145" s="44" t="str">
        <f>IF($A145="","",Inputs!$B$4*12*(1+Inputs!$B$10/100)^($A145-1))</f>
        <v/>
      </c>
      <c r="D145" s="44" t="str">
        <f>IF($A145="","",B145*((Inputs!$B$5-2)/100))</f>
        <v/>
      </c>
      <c r="E145" s="64" t="str">
        <f>IF($A145="","",IFERROR(IF(OR(Inputs!$B$8&lt;=0,Inputs!$B$8=""),0,IF(AND($A145&gt;=Inputs!$B$8,MOD($A145,Inputs!$B$8)=0),Inputs!$B$7*(1+Inputs!$B$6/100)^$A145,0)),0))</f>
        <v/>
      </c>
      <c r="F145" s="44" t="str">
        <f t="shared" si="21"/>
        <v/>
      </c>
      <c r="G145" s="44">
        <f t="shared" si="22"/>
        <v>0</v>
      </c>
      <c r="H145" s="44"/>
      <c r="I145" s="44"/>
      <c r="J145" s="44"/>
      <c r="K145" s="44"/>
      <c r="L145" s="44"/>
      <c r="M145" s="44"/>
      <c r="N145" s="44"/>
      <c r="O145" s="44"/>
      <c r="P145" s="44"/>
      <c r="Q145" s="44"/>
      <c r="R145" s="44"/>
      <c r="S145" s="44"/>
      <c r="T145" s="44"/>
      <c r="U145" s="44"/>
      <c r="V145" s="44"/>
      <c r="W145" s="44"/>
      <c r="X145" s="44"/>
      <c r="Y145" s="44"/>
      <c r="Z145" s="44"/>
      <c r="AA145" s="44"/>
      <c r="AB145" s="44"/>
      <c r="AC145" s="44"/>
    </row>
    <row r="146" spans="1:29" ht="15" customHeight="1" x14ac:dyDescent="0.25">
      <c r="A146" s="1" t="str">
        <f>IF(41&lt;=Inputs!$B$3,41,"")</f>
        <v/>
      </c>
      <c r="B146" s="1" t="str">
        <f t="shared" si="23"/>
        <v/>
      </c>
      <c r="C146" s="44" t="str">
        <f>IF($A146="","",Inputs!$B$4*12*(1+Inputs!$B$10/100)^($A146-1))</f>
        <v/>
      </c>
      <c r="D146" s="44" t="str">
        <f>IF($A146="","",B146*((Inputs!$B$5-2)/100))</f>
        <v/>
      </c>
      <c r="E146" s="64" t="str">
        <f>IF($A146="","",IFERROR(IF(OR(Inputs!$B$8&lt;=0,Inputs!$B$8=""),0,IF(AND($A146&gt;=Inputs!$B$8,MOD($A146,Inputs!$B$8)=0),Inputs!$B$7*(1+Inputs!$B$6/100)^$A146,0)),0))</f>
        <v/>
      </c>
      <c r="F146" s="44" t="str">
        <f t="shared" si="21"/>
        <v/>
      </c>
      <c r="G146" s="44">
        <f t="shared" si="22"/>
        <v>0</v>
      </c>
      <c r="H146" s="44"/>
      <c r="I146" s="44"/>
      <c r="J146" s="44"/>
      <c r="K146" s="44"/>
      <c r="L146" s="44"/>
      <c r="M146" s="44"/>
      <c r="N146" s="44"/>
      <c r="O146" s="44"/>
      <c r="P146" s="44"/>
      <c r="Q146" s="44"/>
      <c r="R146" s="44"/>
      <c r="S146" s="44"/>
      <c r="T146" s="44"/>
      <c r="U146" s="44"/>
      <c r="V146" s="44"/>
      <c r="W146" s="44"/>
      <c r="X146" s="44"/>
      <c r="Y146" s="44"/>
      <c r="Z146" s="44"/>
      <c r="AA146" s="44"/>
      <c r="AB146" s="44"/>
      <c r="AC146" s="44"/>
    </row>
    <row r="147" spans="1:29" ht="15" customHeight="1" x14ac:dyDescent="0.25">
      <c r="A147" s="1" t="str">
        <f>IF(42&lt;=Inputs!$B$3,42,"")</f>
        <v/>
      </c>
      <c r="B147" s="1" t="str">
        <f t="shared" si="23"/>
        <v/>
      </c>
      <c r="C147" s="44" t="str">
        <f>IF($A147="","",Inputs!$B$4*12*(1+Inputs!$B$10/100)^($A147-1))</f>
        <v/>
      </c>
      <c r="D147" s="44" t="str">
        <f>IF($A147="","",B147*((Inputs!$B$5-2)/100))</f>
        <v/>
      </c>
      <c r="E147" s="64" t="str">
        <f>IF($A147="","",IFERROR(IF(OR(Inputs!$B$8&lt;=0,Inputs!$B$8=""),0,IF(AND($A147&gt;=Inputs!$B$8,MOD($A147,Inputs!$B$8)=0),Inputs!$B$7*(1+Inputs!$B$6/100)^$A147,0)),0))</f>
        <v/>
      </c>
      <c r="F147" s="44" t="str">
        <f t="shared" si="21"/>
        <v/>
      </c>
      <c r="G147" s="44">
        <f t="shared" si="22"/>
        <v>0</v>
      </c>
      <c r="H147" s="44"/>
      <c r="I147" s="44"/>
      <c r="J147" s="44"/>
      <c r="K147" s="44"/>
      <c r="L147" s="44"/>
      <c r="M147" s="44"/>
      <c r="N147" s="44"/>
      <c r="O147" s="44"/>
      <c r="P147" s="44"/>
      <c r="Q147" s="44"/>
      <c r="R147" s="44"/>
      <c r="S147" s="44"/>
      <c r="T147" s="44"/>
      <c r="U147" s="44"/>
      <c r="V147" s="44"/>
      <c r="W147" s="44"/>
      <c r="X147" s="44"/>
      <c r="Y147" s="44"/>
      <c r="Z147" s="44"/>
      <c r="AA147" s="44"/>
      <c r="AB147" s="44"/>
      <c r="AC147" s="44"/>
    </row>
    <row r="148" spans="1:29" ht="15" customHeight="1" x14ac:dyDescent="0.25">
      <c r="A148" s="1" t="str">
        <f>IF(43&lt;=Inputs!$B$3,43,"")</f>
        <v/>
      </c>
      <c r="B148" s="1" t="str">
        <f t="shared" si="23"/>
        <v/>
      </c>
      <c r="C148" s="44" t="str">
        <f>IF($A148="","",Inputs!$B$4*12*(1+Inputs!$B$10/100)^($A148-1))</f>
        <v/>
      </c>
      <c r="D148" s="44" t="str">
        <f>IF($A148="","",B148*((Inputs!$B$5-2)/100))</f>
        <v/>
      </c>
      <c r="E148" s="64" t="str">
        <f>IF($A148="","",IFERROR(IF(OR(Inputs!$B$8&lt;=0,Inputs!$B$8=""),0,IF(AND($A148&gt;=Inputs!$B$8,MOD($A148,Inputs!$B$8)=0),Inputs!$B$7*(1+Inputs!$B$6/100)^$A148,0)),0))</f>
        <v/>
      </c>
      <c r="F148" s="44" t="str">
        <f t="shared" si="21"/>
        <v/>
      </c>
      <c r="G148" s="44">
        <f t="shared" si="22"/>
        <v>0</v>
      </c>
      <c r="H148" s="44"/>
      <c r="I148" s="44"/>
      <c r="J148" s="44"/>
      <c r="K148" s="44"/>
      <c r="L148" s="44"/>
      <c r="M148" s="44"/>
      <c r="N148" s="44"/>
      <c r="O148" s="44"/>
      <c r="P148" s="44"/>
      <c r="Q148" s="44"/>
      <c r="R148" s="44"/>
      <c r="S148" s="44"/>
      <c r="T148" s="44"/>
      <c r="U148" s="44"/>
      <c r="V148" s="44"/>
      <c r="W148" s="44"/>
      <c r="X148" s="44"/>
      <c r="Y148" s="44"/>
      <c r="Z148" s="44"/>
      <c r="AA148" s="44"/>
      <c r="AB148" s="44"/>
      <c r="AC148" s="44"/>
    </row>
    <row r="149" spans="1:29" ht="15" customHeight="1" x14ac:dyDescent="0.25">
      <c r="A149" s="1" t="str">
        <f>IF(44&lt;=Inputs!$B$3,44,"")</f>
        <v/>
      </c>
      <c r="B149" s="1" t="str">
        <f t="shared" si="23"/>
        <v/>
      </c>
      <c r="C149" s="44" t="str">
        <f>IF($A149="","",Inputs!$B$4*12*(1+Inputs!$B$10/100)^($A149-1))</f>
        <v/>
      </c>
      <c r="D149" s="44" t="str">
        <f>IF($A149="","",B149*((Inputs!$B$5-2)/100))</f>
        <v/>
      </c>
      <c r="E149" s="64" t="str">
        <f>IF($A149="","",IFERROR(IF(OR(Inputs!$B$8&lt;=0,Inputs!$B$8=""),0,IF(AND($A149&gt;=Inputs!$B$8,MOD($A149,Inputs!$B$8)=0),Inputs!$B$7*(1+Inputs!$B$6/100)^$A149,0)),0))</f>
        <v/>
      </c>
      <c r="F149" s="44" t="str">
        <f t="shared" si="21"/>
        <v/>
      </c>
      <c r="G149" s="44">
        <f t="shared" si="22"/>
        <v>0</v>
      </c>
      <c r="H149" s="44"/>
      <c r="I149" s="44"/>
      <c r="J149" s="44"/>
      <c r="K149" s="44"/>
      <c r="L149" s="44"/>
      <c r="M149" s="44"/>
      <c r="N149" s="44"/>
      <c r="O149" s="44"/>
      <c r="P149" s="44"/>
      <c r="Q149" s="44"/>
      <c r="R149" s="44"/>
      <c r="S149" s="44"/>
      <c r="T149" s="44"/>
      <c r="U149" s="44"/>
      <c r="V149" s="44"/>
      <c r="W149" s="44"/>
      <c r="X149" s="44"/>
      <c r="Y149" s="44"/>
      <c r="Z149" s="44"/>
      <c r="AA149" s="44"/>
      <c r="AB149" s="44"/>
      <c r="AC149" s="44"/>
    </row>
    <row r="150" spans="1:29" ht="15" customHeight="1" x14ac:dyDescent="0.25">
      <c r="A150" s="1" t="str">
        <f>IF(45&lt;=Inputs!$B$3,45,"")</f>
        <v/>
      </c>
      <c r="B150" s="1" t="str">
        <f t="shared" si="23"/>
        <v/>
      </c>
      <c r="C150" s="44" t="str">
        <f>IF($A150="","",Inputs!$B$4*12*(1+Inputs!$B$10/100)^($A150-1))</f>
        <v/>
      </c>
      <c r="D150" s="44" t="str">
        <f>IF($A150="","",B150*((Inputs!$B$5-2)/100))</f>
        <v/>
      </c>
      <c r="E150" s="64" t="str">
        <f>IF($A150="","",IFERROR(IF(OR(Inputs!$B$8&lt;=0,Inputs!$B$8=""),0,IF(AND($A150&gt;=Inputs!$B$8,MOD($A150,Inputs!$B$8)=0),Inputs!$B$7*(1+Inputs!$B$6/100)^$A150,0)),0))</f>
        <v/>
      </c>
      <c r="F150" s="44" t="str">
        <f t="shared" si="21"/>
        <v/>
      </c>
      <c r="G150" s="44">
        <f t="shared" si="22"/>
        <v>0</v>
      </c>
      <c r="H150" s="44"/>
      <c r="I150" s="44"/>
      <c r="J150" s="44"/>
      <c r="K150" s="44"/>
      <c r="L150" s="44"/>
      <c r="M150" s="44"/>
      <c r="N150" s="44"/>
      <c r="O150" s="44"/>
      <c r="P150" s="44"/>
      <c r="Q150" s="44"/>
      <c r="R150" s="44"/>
      <c r="S150" s="44"/>
      <c r="T150" s="44"/>
      <c r="U150" s="44"/>
      <c r="V150" s="44"/>
      <c r="W150" s="44"/>
      <c r="X150" s="44"/>
      <c r="Y150" s="44"/>
      <c r="Z150" s="44"/>
      <c r="AA150" s="44"/>
      <c r="AB150" s="44"/>
      <c r="AC150" s="44"/>
    </row>
    <row r="151" spans="1:29" ht="15" customHeight="1" x14ac:dyDescent="0.25">
      <c r="A151" s="1" t="str">
        <f>IF(46&lt;=Inputs!$B$3,46,"")</f>
        <v/>
      </c>
      <c r="B151" s="1" t="str">
        <f t="shared" si="23"/>
        <v/>
      </c>
      <c r="C151" s="44" t="str">
        <f>IF($A151="","",Inputs!$B$4*12*(1+Inputs!$B$10/100)^($A151-1))</f>
        <v/>
      </c>
      <c r="D151" s="44" t="str">
        <f>IF($A151="","",B151*((Inputs!$B$5-2)/100))</f>
        <v/>
      </c>
      <c r="E151" s="64" t="str">
        <f>IF($A151="","",IFERROR(IF(OR(Inputs!$B$8&lt;=0,Inputs!$B$8=""),0,IF(AND($A151&gt;=Inputs!$B$8,MOD($A151,Inputs!$B$8)=0),Inputs!$B$7*(1+Inputs!$B$6/100)^$A151,0)),0))</f>
        <v/>
      </c>
      <c r="F151" s="44" t="str">
        <f t="shared" si="21"/>
        <v/>
      </c>
      <c r="G151" s="44">
        <f t="shared" si="22"/>
        <v>0</v>
      </c>
      <c r="H151" s="44"/>
      <c r="I151" s="44"/>
      <c r="J151" s="44"/>
      <c r="K151" s="44"/>
      <c r="L151" s="44"/>
      <c r="M151" s="44"/>
      <c r="N151" s="44"/>
      <c r="O151" s="44"/>
      <c r="P151" s="44"/>
      <c r="Q151" s="44"/>
      <c r="R151" s="44"/>
      <c r="S151" s="44"/>
      <c r="T151" s="44"/>
      <c r="U151" s="44"/>
      <c r="V151" s="44"/>
      <c r="W151" s="44"/>
      <c r="X151" s="44"/>
      <c r="Y151" s="44"/>
      <c r="Z151" s="44"/>
      <c r="AA151" s="44"/>
      <c r="AB151" s="44"/>
      <c r="AC151" s="44"/>
    </row>
    <row r="152" spans="1:29" ht="15" customHeight="1" x14ac:dyDescent="0.25">
      <c r="A152" s="1" t="str">
        <f>IF(47&lt;=Inputs!$B$3,47,"")</f>
        <v/>
      </c>
      <c r="B152" s="1" t="str">
        <f t="shared" si="23"/>
        <v/>
      </c>
      <c r="C152" s="44" t="str">
        <f>IF($A152="","",Inputs!$B$4*12*(1+Inputs!$B$10/100)^($A152-1))</f>
        <v/>
      </c>
      <c r="D152" s="44" t="str">
        <f>IF($A152="","",B152*((Inputs!$B$5-2)/100))</f>
        <v/>
      </c>
      <c r="E152" s="64" t="str">
        <f>IF($A152="","",IFERROR(IF(OR(Inputs!$B$8&lt;=0,Inputs!$B$8=""),0,IF(AND($A152&gt;=Inputs!$B$8,MOD($A152,Inputs!$B$8)=0),Inputs!$B$7*(1+Inputs!$B$6/100)^$A152,0)),0))</f>
        <v/>
      </c>
      <c r="F152" s="44" t="str">
        <f t="shared" si="21"/>
        <v/>
      </c>
      <c r="G152" s="44">
        <f t="shared" si="22"/>
        <v>0</v>
      </c>
      <c r="H152" s="44"/>
      <c r="I152" s="44"/>
      <c r="J152" s="44"/>
      <c r="K152" s="44"/>
      <c r="L152" s="44"/>
      <c r="M152" s="44"/>
      <c r="N152" s="44"/>
      <c r="O152" s="44"/>
      <c r="P152" s="44"/>
      <c r="Q152" s="44"/>
      <c r="R152" s="44"/>
      <c r="S152" s="44"/>
      <c r="T152" s="44"/>
      <c r="U152" s="44"/>
      <c r="V152" s="44"/>
      <c r="W152" s="44"/>
      <c r="X152" s="44"/>
      <c r="Y152" s="44"/>
      <c r="Z152" s="44"/>
      <c r="AA152" s="44"/>
      <c r="AB152" s="44"/>
      <c r="AC152" s="44"/>
    </row>
    <row r="153" spans="1:29" ht="15" customHeight="1" x14ac:dyDescent="0.25">
      <c r="A153" s="1" t="str">
        <f>IF(48&lt;=Inputs!$B$3,48,"")</f>
        <v/>
      </c>
      <c r="B153" s="1" t="str">
        <f t="shared" si="23"/>
        <v/>
      </c>
      <c r="C153" s="44" t="str">
        <f>IF($A153="","",Inputs!$B$4*12*(1+Inputs!$B$10/100)^($A153-1))</f>
        <v/>
      </c>
      <c r="D153" s="44" t="str">
        <f>IF($A153="","",B153*((Inputs!$B$5-2)/100))</f>
        <v/>
      </c>
      <c r="E153" s="64" t="str">
        <f>IF($A153="","",IFERROR(IF(OR(Inputs!$B$8&lt;=0,Inputs!$B$8=""),0,IF(AND($A153&gt;=Inputs!$B$8,MOD($A153,Inputs!$B$8)=0),Inputs!$B$7*(1+Inputs!$B$6/100)^$A153,0)),0))</f>
        <v/>
      </c>
      <c r="F153" s="44" t="str">
        <f t="shared" si="21"/>
        <v/>
      </c>
      <c r="G153" s="44">
        <f t="shared" si="22"/>
        <v>0</v>
      </c>
      <c r="H153" s="44"/>
      <c r="I153" s="44"/>
      <c r="J153" s="44"/>
      <c r="K153" s="44"/>
      <c r="L153" s="44"/>
      <c r="M153" s="44"/>
      <c r="N153" s="44"/>
      <c r="O153" s="44"/>
      <c r="P153" s="44"/>
      <c r="Q153" s="44"/>
      <c r="R153" s="44"/>
      <c r="S153" s="44"/>
      <c r="T153" s="44"/>
      <c r="U153" s="44"/>
      <c r="V153" s="44"/>
      <c r="W153" s="44"/>
      <c r="X153" s="44"/>
      <c r="Y153" s="44"/>
      <c r="Z153" s="44"/>
      <c r="AA153" s="44"/>
      <c r="AB153" s="44"/>
      <c r="AC153" s="44"/>
    </row>
    <row r="154" spans="1:29" ht="15" customHeight="1" x14ac:dyDescent="0.25">
      <c r="A154" s="1" t="str">
        <f>IF(49&lt;=Inputs!$B$3,49,"")</f>
        <v/>
      </c>
      <c r="B154" s="1" t="str">
        <f t="shared" si="23"/>
        <v/>
      </c>
      <c r="C154" s="44" t="str">
        <f>IF($A154="","",Inputs!$B$4*12*(1+Inputs!$B$10/100)^($A154-1))</f>
        <v/>
      </c>
      <c r="D154" s="44" t="str">
        <f>IF($A154="","",B154*((Inputs!$B$5-2)/100))</f>
        <v/>
      </c>
      <c r="E154" s="64" t="str">
        <f>IF($A154="","",IFERROR(IF(OR(Inputs!$B$8&lt;=0,Inputs!$B$8=""),0,IF(AND($A154&gt;=Inputs!$B$8,MOD($A154,Inputs!$B$8)=0),Inputs!$B$7*(1+Inputs!$B$6/100)^$A154,0)),0))</f>
        <v/>
      </c>
      <c r="F154" s="44" t="str">
        <f t="shared" si="21"/>
        <v/>
      </c>
      <c r="G154" s="44">
        <f t="shared" si="22"/>
        <v>0</v>
      </c>
      <c r="H154" s="44"/>
      <c r="I154" s="44"/>
      <c r="J154" s="44"/>
      <c r="K154" s="44"/>
      <c r="L154" s="44"/>
      <c r="M154" s="44"/>
      <c r="N154" s="44"/>
      <c r="O154" s="44"/>
      <c r="P154" s="44"/>
      <c r="Q154" s="44"/>
      <c r="R154" s="44"/>
      <c r="S154" s="44"/>
      <c r="T154" s="44"/>
      <c r="U154" s="44"/>
      <c r="V154" s="44"/>
      <c r="W154" s="44"/>
      <c r="X154" s="44"/>
      <c r="Y154" s="44"/>
      <c r="Z154" s="44"/>
      <c r="AA154" s="44"/>
      <c r="AB154" s="44"/>
      <c r="AC154" s="44"/>
    </row>
    <row r="155" spans="1:29" ht="15" customHeight="1" x14ac:dyDescent="0.25">
      <c r="A155" s="1" t="str">
        <f>IF(50&lt;=Inputs!$B$3,50,"")</f>
        <v/>
      </c>
      <c r="B155" s="1" t="str">
        <f t="shared" si="23"/>
        <v/>
      </c>
      <c r="C155" s="44" t="str">
        <f>IF($A155="","",Inputs!$B$4*12*(1+Inputs!$B$10/100)^($A155-1))</f>
        <v/>
      </c>
      <c r="D155" s="44" t="str">
        <f>IF($A155="","",B155*((Inputs!$B$5-2)/100))</f>
        <v/>
      </c>
      <c r="E155" s="64" t="str">
        <f>IF($A155="","",IFERROR(IF(OR(Inputs!$B$8&lt;=0,Inputs!$B$8=""),0,IF(AND($A155&gt;=Inputs!$B$8,MOD($A155,Inputs!$B$8)=0),Inputs!$B$7*(1+Inputs!$B$6/100)^$A155,0)),0))</f>
        <v/>
      </c>
      <c r="F155" s="44" t="str">
        <f t="shared" si="21"/>
        <v/>
      </c>
      <c r="G155" s="44">
        <f t="shared" si="22"/>
        <v>0</v>
      </c>
      <c r="H155" s="44"/>
      <c r="I155" s="44"/>
      <c r="J155" s="44"/>
      <c r="K155" s="44"/>
      <c r="L155" s="44"/>
      <c r="M155" s="44"/>
      <c r="N155" s="44"/>
      <c r="O155" s="44"/>
      <c r="P155" s="44"/>
      <c r="Q155" s="44"/>
      <c r="R155" s="44"/>
      <c r="S155" s="44"/>
      <c r="T155" s="44"/>
      <c r="U155" s="44"/>
      <c r="V155" s="44"/>
      <c r="W155" s="44"/>
      <c r="X155" s="44"/>
      <c r="Y155" s="44"/>
      <c r="Z155" s="44"/>
      <c r="AA155" s="44"/>
      <c r="AB155" s="44"/>
      <c r="AC155" s="44"/>
    </row>
    <row r="156" spans="1:29" ht="15" customHeight="1" x14ac:dyDescent="0.25">
      <c r="A156" s="1" t="str">
        <f>IF(51&lt;=Inputs!$B$3,51,"")</f>
        <v/>
      </c>
      <c r="B156" s="1" t="str">
        <f t="shared" si="23"/>
        <v/>
      </c>
      <c r="C156" s="44" t="str">
        <f>IF($A156="","",Inputs!$B$4*12*(1+Inputs!$B$10/100)^($A156-1))</f>
        <v/>
      </c>
      <c r="D156" s="44" t="str">
        <f>IF($A156="","",B156*((Inputs!$B$5-2)/100))</f>
        <v/>
      </c>
      <c r="E156" s="64" t="str">
        <f>IF($A156="","",IFERROR(IF(OR(Inputs!$B$8&lt;=0,Inputs!$B$8=""),0,IF(AND($A156&gt;=Inputs!$B$8,MOD($A156,Inputs!$B$8)=0),Inputs!$B$7*(1+Inputs!$B$6/100)^$A156,0)),0))</f>
        <v/>
      </c>
      <c r="F156" s="44" t="str">
        <f t="shared" si="21"/>
        <v/>
      </c>
      <c r="G156" s="44">
        <f t="shared" si="22"/>
        <v>0</v>
      </c>
      <c r="H156" s="44"/>
      <c r="I156" s="44"/>
      <c r="J156" s="44"/>
      <c r="K156" s="44"/>
      <c r="L156" s="44"/>
      <c r="M156" s="44"/>
      <c r="N156" s="44"/>
      <c r="O156" s="44"/>
      <c r="P156" s="44"/>
      <c r="Q156" s="44"/>
      <c r="R156" s="44"/>
      <c r="S156" s="44"/>
      <c r="T156" s="44"/>
      <c r="U156" s="44"/>
      <c r="V156" s="44"/>
      <c r="W156" s="44"/>
      <c r="X156" s="44"/>
      <c r="Y156" s="44"/>
      <c r="Z156" s="44"/>
      <c r="AA156" s="44"/>
      <c r="AB156" s="44"/>
      <c r="AC156" s="44"/>
    </row>
    <row r="157" spans="1:29" ht="15" customHeight="1" x14ac:dyDescent="0.25">
      <c r="A157" s="1" t="str">
        <f>IF(52&lt;=Inputs!$B$3,52,"")</f>
        <v/>
      </c>
      <c r="B157" s="1" t="str">
        <f t="shared" si="23"/>
        <v/>
      </c>
      <c r="C157" s="44" t="str">
        <f>IF($A157="","",Inputs!$B$4*12*(1+Inputs!$B$10/100)^($A157-1))</f>
        <v/>
      </c>
      <c r="D157" s="44" t="str">
        <f>IF($A157="","",B157*((Inputs!$B$5-2)/100))</f>
        <v/>
      </c>
      <c r="E157" s="64" t="str">
        <f>IF($A157="","",IFERROR(IF(OR(Inputs!$B$8&lt;=0,Inputs!$B$8=""),0,IF(AND($A157&gt;=Inputs!$B$8,MOD($A157,Inputs!$B$8)=0),Inputs!$B$7*(1+Inputs!$B$6/100)^$A157,0)),0))</f>
        <v/>
      </c>
      <c r="F157" s="44" t="str">
        <f t="shared" si="21"/>
        <v/>
      </c>
      <c r="G157" s="44">
        <f t="shared" si="22"/>
        <v>0</v>
      </c>
      <c r="H157" s="44"/>
      <c r="I157" s="44"/>
      <c r="J157" s="44"/>
      <c r="K157" s="44"/>
      <c r="L157" s="44"/>
      <c r="M157" s="44"/>
      <c r="N157" s="44"/>
      <c r="O157" s="44"/>
      <c r="P157" s="44"/>
      <c r="Q157" s="44"/>
      <c r="R157" s="44"/>
      <c r="S157" s="44"/>
      <c r="T157" s="44"/>
      <c r="U157" s="44"/>
      <c r="V157" s="44"/>
      <c r="W157" s="44"/>
      <c r="X157" s="44"/>
      <c r="Y157" s="44"/>
      <c r="Z157" s="44"/>
      <c r="AA157" s="44"/>
      <c r="AB157" s="44"/>
      <c r="AC157" s="44"/>
    </row>
    <row r="158" spans="1:29" ht="15" customHeight="1" x14ac:dyDescent="0.25">
      <c r="A158" s="1" t="str">
        <f>IF(53&lt;=Inputs!$B$3,53,"")</f>
        <v/>
      </c>
      <c r="B158" s="1" t="str">
        <f t="shared" si="23"/>
        <v/>
      </c>
      <c r="C158" s="44" t="str">
        <f>IF($A158="","",Inputs!$B$4*12*(1+Inputs!$B$10/100)^($A158-1))</f>
        <v/>
      </c>
      <c r="D158" s="44" t="str">
        <f>IF($A158="","",B158*((Inputs!$B$5-2)/100))</f>
        <v/>
      </c>
      <c r="E158" s="64" t="str">
        <f>IF($A158="","",IFERROR(IF(OR(Inputs!$B$8&lt;=0,Inputs!$B$8=""),0,IF(AND($A158&gt;=Inputs!$B$8,MOD($A158,Inputs!$B$8)=0),Inputs!$B$7*(1+Inputs!$B$6/100)^$A158,0)),0))</f>
        <v/>
      </c>
      <c r="F158" s="44" t="str">
        <f t="shared" si="21"/>
        <v/>
      </c>
      <c r="G158" s="44">
        <f t="shared" si="22"/>
        <v>0</v>
      </c>
      <c r="H158" s="44"/>
      <c r="I158" s="44"/>
      <c r="J158" s="44"/>
      <c r="K158" s="44"/>
      <c r="L158" s="44"/>
      <c r="M158" s="44"/>
      <c r="N158" s="44"/>
      <c r="O158" s="44"/>
      <c r="P158" s="44"/>
      <c r="Q158" s="44"/>
      <c r="R158" s="44"/>
      <c r="S158" s="44"/>
      <c r="T158" s="44"/>
      <c r="U158" s="44"/>
      <c r="V158" s="44"/>
      <c r="W158" s="44"/>
      <c r="X158" s="44"/>
      <c r="Y158" s="44"/>
      <c r="Z158" s="44"/>
      <c r="AA158" s="44"/>
      <c r="AB158" s="44"/>
      <c r="AC158" s="44"/>
    </row>
    <row r="159" spans="1:29" ht="15" customHeight="1" x14ac:dyDescent="0.25">
      <c r="A159" s="1" t="str">
        <f>IF(54&lt;=Inputs!$B$3,54,"")</f>
        <v/>
      </c>
      <c r="B159" s="1" t="str">
        <f t="shared" si="23"/>
        <v/>
      </c>
      <c r="C159" s="44" t="str">
        <f>IF($A159="","",Inputs!$B$4*12*(1+Inputs!$B$10/100)^($A159-1))</f>
        <v/>
      </c>
      <c r="D159" s="44" t="str">
        <f>IF($A159="","",B159*((Inputs!$B$5-2)/100))</f>
        <v/>
      </c>
      <c r="E159" s="64" t="str">
        <f>IF($A159="","",IFERROR(IF(OR(Inputs!$B$8&lt;=0,Inputs!$B$8=""),0,IF(AND($A159&gt;=Inputs!$B$8,MOD($A159,Inputs!$B$8)=0),Inputs!$B$7*(1+Inputs!$B$6/100)^$A159,0)),0))</f>
        <v/>
      </c>
      <c r="F159" s="44" t="str">
        <f t="shared" si="21"/>
        <v/>
      </c>
      <c r="G159" s="44">
        <f t="shared" si="22"/>
        <v>0</v>
      </c>
      <c r="H159" s="44"/>
      <c r="I159" s="44"/>
      <c r="J159" s="44"/>
      <c r="K159" s="44"/>
      <c r="L159" s="44"/>
      <c r="M159" s="44"/>
      <c r="N159" s="44"/>
      <c r="O159" s="44"/>
      <c r="P159" s="44"/>
      <c r="Q159" s="44"/>
      <c r="R159" s="44"/>
      <c r="S159" s="44"/>
      <c r="T159" s="44"/>
      <c r="U159" s="44"/>
      <c r="V159" s="44"/>
      <c r="W159" s="44"/>
      <c r="X159" s="44"/>
      <c r="Y159" s="44"/>
      <c r="Z159" s="44"/>
      <c r="AA159" s="44"/>
      <c r="AB159" s="44"/>
      <c r="AC159" s="44"/>
    </row>
    <row r="160" spans="1:29" ht="15" customHeight="1" x14ac:dyDescent="0.25">
      <c r="A160" s="1" t="str">
        <f>IF(55&lt;=Inputs!$B$3,55,"")</f>
        <v/>
      </c>
      <c r="B160" s="1" t="str">
        <f t="shared" si="23"/>
        <v/>
      </c>
      <c r="C160" s="44" t="str">
        <f>IF($A160="","",Inputs!$B$4*12*(1+Inputs!$B$10/100)^($A160-1))</f>
        <v/>
      </c>
      <c r="D160" s="44" t="str">
        <f>IF($A160="","",B160*((Inputs!$B$5-2)/100))</f>
        <v/>
      </c>
      <c r="E160" s="64" t="str">
        <f>IF($A160="","",IFERROR(IF(OR(Inputs!$B$8&lt;=0,Inputs!$B$8=""),0,IF(AND($A160&gt;=Inputs!$B$8,MOD($A160,Inputs!$B$8)=0),Inputs!$B$7*(1+Inputs!$B$6/100)^$A160,0)),0))</f>
        <v/>
      </c>
      <c r="F160" s="44" t="str">
        <f t="shared" si="21"/>
        <v/>
      </c>
      <c r="G160" s="44">
        <f t="shared" si="22"/>
        <v>0</v>
      </c>
      <c r="H160" s="44"/>
      <c r="I160" s="44"/>
      <c r="J160" s="44"/>
      <c r="K160" s="44"/>
      <c r="L160" s="44"/>
      <c r="M160" s="44"/>
      <c r="N160" s="44"/>
      <c r="O160" s="44"/>
      <c r="P160" s="44"/>
      <c r="Q160" s="44"/>
      <c r="R160" s="44"/>
      <c r="S160" s="44"/>
      <c r="T160" s="44"/>
      <c r="U160" s="44"/>
      <c r="V160" s="44"/>
      <c r="W160" s="44"/>
      <c r="X160" s="44"/>
      <c r="Y160" s="44"/>
      <c r="Z160" s="44"/>
      <c r="AA160" s="44"/>
      <c r="AB160" s="44"/>
      <c r="AC160" s="44"/>
    </row>
    <row r="161" spans="1:29" ht="15" customHeight="1" x14ac:dyDescent="0.25">
      <c r="A161" s="1" t="str">
        <f>IF(56&lt;=Inputs!$B$3,56,"")</f>
        <v/>
      </c>
      <c r="B161" s="1" t="str">
        <f t="shared" si="23"/>
        <v/>
      </c>
      <c r="C161" s="44" t="str">
        <f>IF($A161="","",Inputs!$B$4*12*(1+Inputs!$B$10/100)^($A161-1))</f>
        <v/>
      </c>
      <c r="D161" s="44" t="str">
        <f>IF($A161="","",B161*((Inputs!$B$5-2)/100))</f>
        <v/>
      </c>
      <c r="E161" s="64" t="str">
        <f>IF($A161="","",IFERROR(IF(OR(Inputs!$B$8&lt;=0,Inputs!$B$8=""),0,IF(AND($A161&gt;=Inputs!$B$8,MOD($A161,Inputs!$B$8)=0),Inputs!$B$7*(1+Inputs!$B$6/100)^$A161,0)),0))</f>
        <v/>
      </c>
      <c r="F161" s="44" t="str">
        <f t="shared" si="21"/>
        <v/>
      </c>
      <c r="G161" s="44">
        <f t="shared" si="22"/>
        <v>0</v>
      </c>
      <c r="H161" s="44"/>
      <c r="I161" s="44"/>
      <c r="J161" s="44"/>
      <c r="K161" s="44"/>
      <c r="L161" s="44"/>
      <c r="M161" s="44"/>
      <c r="N161" s="44"/>
      <c r="O161" s="44"/>
      <c r="P161" s="44"/>
      <c r="Q161" s="44"/>
      <c r="R161" s="44"/>
      <c r="S161" s="44"/>
      <c r="T161" s="44"/>
      <c r="U161" s="44"/>
      <c r="V161" s="44"/>
      <c r="W161" s="44"/>
      <c r="X161" s="44"/>
      <c r="Y161" s="44"/>
      <c r="Z161" s="44"/>
      <c r="AA161" s="44"/>
      <c r="AB161" s="44"/>
      <c r="AC161" s="44"/>
    </row>
    <row r="162" spans="1:29" ht="15" customHeight="1" x14ac:dyDescent="0.25">
      <c r="A162" s="1" t="str">
        <f>IF(57&lt;=Inputs!$B$3,57,"")</f>
        <v/>
      </c>
      <c r="B162" s="1" t="str">
        <f t="shared" si="23"/>
        <v/>
      </c>
      <c r="C162" s="44" t="str">
        <f>IF($A162="","",Inputs!$B$4*12*(1+Inputs!$B$10/100)^($A162-1))</f>
        <v/>
      </c>
      <c r="D162" s="44" t="str">
        <f>IF($A162="","",B162*((Inputs!$B$5-2)/100))</f>
        <v/>
      </c>
      <c r="E162" s="64" t="str">
        <f>IF($A162="","",IFERROR(IF(OR(Inputs!$B$8&lt;=0,Inputs!$B$8=""),0,IF(AND($A162&gt;=Inputs!$B$8,MOD($A162,Inputs!$B$8)=0),Inputs!$B$7*(1+Inputs!$B$6/100)^$A162,0)),0))</f>
        <v/>
      </c>
      <c r="F162" s="44" t="str">
        <f t="shared" si="21"/>
        <v/>
      </c>
      <c r="G162" s="44">
        <f t="shared" si="22"/>
        <v>0</v>
      </c>
      <c r="H162" s="44"/>
      <c r="I162" s="44"/>
      <c r="J162" s="44"/>
      <c r="K162" s="44"/>
      <c r="L162" s="44"/>
      <c r="M162" s="44"/>
      <c r="N162" s="44"/>
      <c r="O162" s="44"/>
      <c r="P162" s="44"/>
      <c r="Q162" s="44"/>
      <c r="R162" s="44"/>
      <c r="S162" s="44"/>
      <c r="T162" s="44"/>
      <c r="U162" s="44"/>
      <c r="V162" s="44"/>
      <c r="W162" s="44"/>
      <c r="X162" s="44"/>
      <c r="Y162" s="44"/>
      <c r="Z162" s="44"/>
      <c r="AA162" s="44"/>
      <c r="AB162" s="44"/>
      <c r="AC162" s="44"/>
    </row>
    <row r="163" spans="1:29" ht="15" customHeight="1" x14ac:dyDescent="0.25">
      <c r="A163" s="1" t="str">
        <f>IF(58&lt;=Inputs!$B$3,58,"")</f>
        <v/>
      </c>
      <c r="B163" s="1" t="str">
        <f t="shared" si="23"/>
        <v/>
      </c>
      <c r="C163" s="44" t="str">
        <f>IF($A163="","",Inputs!$B$4*12*(1+Inputs!$B$10/100)^($A163-1))</f>
        <v/>
      </c>
      <c r="D163" s="44" t="str">
        <f>IF($A163="","",B163*((Inputs!$B$5-2)/100))</f>
        <v/>
      </c>
      <c r="E163" s="64" t="str">
        <f>IF($A163="","",IFERROR(IF(OR(Inputs!$B$8&lt;=0,Inputs!$B$8=""),0,IF(AND($A163&gt;=Inputs!$B$8,MOD($A163,Inputs!$B$8)=0),Inputs!$B$7*(1+Inputs!$B$6/100)^$A163,0)),0))</f>
        <v/>
      </c>
      <c r="F163" s="44" t="str">
        <f t="shared" si="21"/>
        <v/>
      </c>
      <c r="G163" s="44">
        <f t="shared" si="22"/>
        <v>0</v>
      </c>
      <c r="H163" s="44"/>
      <c r="I163" s="44"/>
      <c r="J163" s="44"/>
      <c r="K163" s="44"/>
      <c r="L163" s="44"/>
      <c r="M163" s="44"/>
      <c r="N163" s="44"/>
      <c r="O163" s="44"/>
      <c r="P163" s="44"/>
      <c r="Q163" s="44"/>
      <c r="R163" s="44"/>
      <c r="S163" s="44"/>
      <c r="T163" s="44"/>
      <c r="U163" s="44"/>
      <c r="V163" s="44"/>
      <c r="W163" s="44"/>
      <c r="X163" s="44"/>
      <c r="Y163" s="44"/>
      <c r="Z163" s="44"/>
      <c r="AA163" s="44"/>
      <c r="AB163" s="44"/>
      <c r="AC163" s="44"/>
    </row>
    <row r="164" spans="1:29" ht="15" customHeight="1" x14ac:dyDescent="0.25">
      <c r="A164" s="1" t="str">
        <f>IF(59&lt;=Inputs!$B$3,59,"")</f>
        <v/>
      </c>
      <c r="B164" s="1" t="str">
        <f t="shared" si="23"/>
        <v/>
      </c>
      <c r="C164" s="44" t="str">
        <f>IF($A164="","",Inputs!$B$4*12*(1+Inputs!$B$10/100)^($A164-1))</f>
        <v/>
      </c>
      <c r="D164" s="44" t="str">
        <f>IF($A164="","",B164*((Inputs!$B$5-2)/100))</f>
        <v/>
      </c>
      <c r="E164" s="64" t="str">
        <f>IF($A164="","",IFERROR(IF(OR(Inputs!$B$8&lt;=0,Inputs!$B$8=""),0,IF(AND($A164&gt;=Inputs!$B$8,MOD($A164,Inputs!$B$8)=0),Inputs!$B$7*(1+Inputs!$B$6/100)^$A164,0)),0))</f>
        <v/>
      </c>
      <c r="F164" s="44" t="str">
        <f t="shared" si="21"/>
        <v/>
      </c>
      <c r="G164" s="44">
        <f t="shared" si="22"/>
        <v>0</v>
      </c>
      <c r="H164" s="44"/>
      <c r="I164" s="44"/>
      <c r="J164" s="44"/>
      <c r="K164" s="44"/>
      <c r="L164" s="44"/>
      <c r="M164" s="44"/>
      <c r="N164" s="44"/>
      <c r="O164" s="44"/>
      <c r="P164" s="44"/>
      <c r="Q164" s="44"/>
      <c r="R164" s="44"/>
      <c r="S164" s="44"/>
      <c r="T164" s="44"/>
      <c r="U164" s="44"/>
      <c r="V164" s="44"/>
      <c r="W164" s="44"/>
      <c r="X164" s="44"/>
      <c r="Y164" s="44"/>
      <c r="Z164" s="44"/>
      <c r="AA164" s="44"/>
      <c r="AB164" s="44"/>
      <c r="AC164" s="44"/>
    </row>
    <row r="165" spans="1:29" ht="15" customHeight="1" x14ac:dyDescent="0.25">
      <c r="A165" s="1" t="str">
        <f>IF(60&lt;=Inputs!$B$3,60,"")</f>
        <v/>
      </c>
      <c r="B165" s="1" t="str">
        <f t="shared" si="23"/>
        <v/>
      </c>
      <c r="C165" s="44" t="str">
        <f>IF($A165="","",Inputs!$B$4*12*(1+Inputs!$B$10/100)^($A165-1))</f>
        <v/>
      </c>
      <c r="D165" s="44" t="str">
        <f>IF($A165="","",B165*((Inputs!$B$5-2)/100))</f>
        <v/>
      </c>
      <c r="E165" s="64" t="str">
        <f>IF($A165="","",IFERROR(IF(OR(Inputs!$B$8&lt;=0,Inputs!$B$8=""),0,IF(AND($A165&gt;=Inputs!$B$8,MOD($A165,Inputs!$B$8)=0),Inputs!$B$7*(1+Inputs!$B$6/100)^$A165,0)),0))</f>
        <v/>
      </c>
      <c r="F165" s="44" t="str">
        <f t="shared" si="21"/>
        <v/>
      </c>
      <c r="G165" s="44">
        <f t="shared" si="22"/>
        <v>0</v>
      </c>
      <c r="H165" s="44"/>
      <c r="I165" s="44"/>
      <c r="J165" s="44"/>
      <c r="K165" s="44"/>
      <c r="L165" s="44"/>
      <c r="M165" s="44"/>
      <c r="N165" s="44"/>
      <c r="O165" s="44"/>
      <c r="P165" s="44"/>
      <c r="Q165" s="44"/>
      <c r="R165" s="44"/>
      <c r="S165" s="44"/>
      <c r="T165" s="44"/>
      <c r="U165" s="44"/>
      <c r="V165" s="44"/>
      <c r="W165" s="44"/>
      <c r="X165" s="44"/>
      <c r="Y165" s="44"/>
      <c r="Z165" s="44"/>
      <c r="AA165" s="44"/>
      <c r="AB165" s="44"/>
      <c r="AC165" s="44"/>
    </row>
    <row r="166" spans="1:29" ht="15" customHeight="1" x14ac:dyDescent="0.25">
      <c r="A166" s="1" t="str">
        <f>IF(61&lt;=Inputs!$B$3,61,"")</f>
        <v/>
      </c>
      <c r="B166" s="1" t="str">
        <f t="shared" si="23"/>
        <v/>
      </c>
      <c r="C166" s="44" t="str">
        <f>IF($A166="","",Inputs!$B$4*12*(1+Inputs!$B$10/100)^($A166-1))</f>
        <v/>
      </c>
      <c r="D166" s="44" t="str">
        <f>IF($A166="","",B166*((Inputs!$B$5-2)/100))</f>
        <v/>
      </c>
      <c r="E166" s="64" t="str">
        <f>IF($A166="","",IFERROR(IF(OR(Inputs!$B$8&lt;=0,Inputs!$B$8=""),0,IF(AND($A166&gt;=Inputs!$B$8,MOD($A166,Inputs!$B$8)=0),Inputs!$B$7*(1+Inputs!$B$6/100)^$A166,0)),0))</f>
        <v/>
      </c>
      <c r="F166" s="44" t="str">
        <f t="shared" si="21"/>
        <v/>
      </c>
      <c r="G166" s="44">
        <f t="shared" si="22"/>
        <v>0</v>
      </c>
      <c r="H166" s="44"/>
      <c r="I166" s="44"/>
      <c r="J166" s="44"/>
      <c r="K166" s="44"/>
      <c r="L166" s="44"/>
      <c r="M166" s="44"/>
      <c r="N166" s="44"/>
      <c r="O166" s="44"/>
      <c r="P166" s="44"/>
      <c r="Q166" s="44"/>
      <c r="R166" s="44"/>
      <c r="S166" s="44"/>
      <c r="T166" s="44"/>
      <c r="U166" s="44"/>
      <c r="V166" s="44"/>
      <c r="W166" s="44"/>
      <c r="X166" s="44"/>
      <c r="Y166" s="44"/>
      <c r="Z166" s="44"/>
      <c r="AA166" s="44"/>
      <c r="AB166" s="44"/>
      <c r="AC166" s="44"/>
    </row>
    <row r="167" spans="1:29" ht="15" customHeight="1" x14ac:dyDescent="0.25">
      <c r="A167" s="1" t="str">
        <f>IF(62&lt;=Inputs!$B$3,62,"")</f>
        <v/>
      </c>
      <c r="B167" s="1" t="str">
        <f t="shared" si="23"/>
        <v/>
      </c>
      <c r="C167" s="44" t="str">
        <f>IF($A167="","",Inputs!$B$4*12*(1+Inputs!$B$10/100)^($A167-1))</f>
        <v/>
      </c>
      <c r="D167" s="44" t="str">
        <f>IF($A167="","",B167*((Inputs!$B$5-2)/100))</f>
        <v/>
      </c>
      <c r="E167" s="64" t="str">
        <f>IF($A167="","",IFERROR(IF(OR(Inputs!$B$8&lt;=0,Inputs!$B$8=""),0,IF(AND($A167&gt;=Inputs!$B$8,MOD($A167,Inputs!$B$8)=0),Inputs!$B$7*(1+Inputs!$B$6/100)^$A167,0)),0))</f>
        <v/>
      </c>
      <c r="F167" s="44" t="str">
        <f t="shared" si="21"/>
        <v/>
      </c>
      <c r="G167" s="44">
        <f t="shared" si="22"/>
        <v>0</v>
      </c>
      <c r="H167" s="44"/>
      <c r="I167" s="44"/>
      <c r="J167" s="44"/>
      <c r="K167" s="44"/>
      <c r="L167" s="44"/>
      <c r="M167" s="44"/>
      <c r="N167" s="44"/>
      <c r="O167" s="44"/>
      <c r="P167" s="44"/>
      <c r="Q167" s="44"/>
      <c r="R167" s="44"/>
      <c r="S167" s="44"/>
      <c r="T167" s="44"/>
      <c r="U167" s="44"/>
      <c r="V167" s="44"/>
      <c r="W167" s="44"/>
      <c r="X167" s="44"/>
      <c r="Y167" s="44"/>
      <c r="Z167" s="44"/>
      <c r="AA167" s="44"/>
      <c r="AB167" s="44"/>
      <c r="AC167" s="44"/>
    </row>
    <row r="168" spans="1:29" ht="15" customHeight="1" x14ac:dyDescent="0.25">
      <c r="A168" s="1" t="str">
        <f>IF(63&lt;=Inputs!$B$3,63,"")</f>
        <v/>
      </c>
      <c r="B168" s="1" t="str">
        <f t="shared" si="23"/>
        <v/>
      </c>
      <c r="C168" s="44" t="str">
        <f>IF($A168="","",Inputs!$B$4*12*(1+Inputs!$B$10/100)^($A168-1))</f>
        <v/>
      </c>
      <c r="D168" s="44" t="str">
        <f>IF($A168="","",B168*((Inputs!$B$5-2)/100))</f>
        <v/>
      </c>
      <c r="E168" s="64" t="str">
        <f>IF($A168="","",IFERROR(IF(OR(Inputs!$B$8&lt;=0,Inputs!$B$8=""),0,IF(AND($A168&gt;=Inputs!$B$8,MOD($A168,Inputs!$B$8)=0),Inputs!$B$7*(1+Inputs!$B$6/100)^$A168,0)),0))</f>
        <v/>
      </c>
      <c r="F168" s="44" t="str">
        <f t="shared" si="21"/>
        <v/>
      </c>
      <c r="G168" s="44">
        <f t="shared" si="22"/>
        <v>0</v>
      </c>
      <c r="H168" s="44"/>
      <c r="I168" s="44"/>
      <c r="J168" s="44"/>
      <c r="K168" s="44"/>
      <c r="L168" s="44"/>
      <c r="M168" s="44"/>
      <c r="N168" s="44"/>
      <c r="O168" s="44"/>
      <c r="P168" s="44"/>
      <c r="Q168" s="44"/>
      <c r="R168" s="44"/>
      <c r="S168" s="44"/>
      <c r="T168" s="44"/>
      <c r="U168" s="44"/>
      <c r="V168" s="44"/>
      <c r="W168" s="44"/>
      <c r="X168" s="44"/>
      <c r="Y168" s="44"/>
      <c r="Z168" s="44"/>
      <c r="AA168" s="44"/>
      <c r="AB168" s="44"/>
      <c r="AC168" s="44"/>
    </row>
    <row r="169" spans="1:29" ht="15" customHeight="1" x14ac:dyDescent="0.25">
      <c r="A169" s="1" t="str">
        <f>IF(64&lt;=Inputs!$B$3,64,"")</f>
        <v/>
      </c>
      <c r="B169" s="1" t="str">
        <f t="shared" si="23"/>
        <v/>
      </c>
      <c r="C169" s="44" t="str">
        <f>IF($A169="","",Inputs!$B$4*12*(1+Inputs!$B$10/100)^($A169-1))</f>
        <v/>
      </c>
      <c r="D169" s="44" t="str">
        <f>IF($A169="","",B169*((Inputs!$B$5-2)/100))</f>
        <v/>
      </c>
      <c r="E169" s="64" t="str">
        <f>IF($A169="","",IFERROR(IF(OR(Inputs!$B$8&lt;=0,Inputs!$B$8=""),0,IF(AND($A169&gt;=Inputs!$B$8,MOD($A169,Inputs!$B$8)=0),Inputs!$B$7*(1+Inputs!$B$6/100)^$A169,0)),0))</f>
        <v/>
      </c>
      <c r="F169" s="44" t="str">
        <f t="shared" si="21"/>
        <v/>
      </c>
      <c r="G169" s="44">
        <f t="shared" si="22"/>
        <v>0</v>
      </c>
      <c r="H169" s="44"/>
      <c r="I169" s="44"/>
      <c r="J169" s="44"/>
      <c r="K169" s="44"/>
      <c r="L169" s="44"/>
      <c r="M169" s="44"/>
      <c r="N169" s="44"/>
      <c r="O169" s="44"/>
      <c r="P169" s="44"/>
      <c r="Q169" s="44"/>
      <c r="R169" s="44"/>
      <c r="S169" s="44"/>
      <c r="T169" s="44"/>
      <c r="U169" s="44"/>
      <c r="V169" s="44"/>
      <c r="W169" s="44"/>
      <c r="X169" s="44"/>
      <c r="Y169" s="44"/>
      <c r="Z169" s="44"/>
      <c r="AA169" s="44"/>
      <c r="AB169" s="44"/>
      <c r="AC169" s="44"/>
    </row>
    <row r="170" spans="1:29" ht="15" customHeight="1" x14ac:dyDescent="0.25">
      <c r="A170" s="1" t="str">
        <f>IF(65&lt;=Inputs!$B$3,65,"")</f>
        <v/>
      </c>
      <c r="B170" s="1" t="str">
        <f t="shared" si="23"/>
        <v/>
      </c>
      <c r="C170" s="44" t="str">
        <f>IF($A170="","",Inputs!$B$4*12*(1+Inputs!$B$10/100)^($A170-1))</f>
        <v/>
      </c>
      <c r="D170" s="44" t="str">
        <f>IF($A170="","",B170*((Inputs!$B$5-2)/100))</f>
        <v/>
      </c>
      <c r="E170" s="64" t="str">
        <f>IF($A170="","",IFERROR(IF(OR(Inputs!$B$8&lt;=0,Inputs!$B$8=""),0,IF(AND($A170&gt;=Inputs!$B$8,MOD($A170,Inputs!$B$8)=0),Inputs!$B$7*(1+Inputs!$B$6/100)^$A170,0)),0))</f>
        <v/>
      </c>
      <c r="F170" s="44" t="str">
        <f t="shared" ref="F170:F201" si="24">IF($A170="","",IFERROR(B170+C170+D170-E170,0))</f>
        <v/>
      </c>
      <c r="G170" s="44">
        <f t="shared" ref="G170:G205" si="25">IF($A170="",0,IF(IFERROR(D170,0)&gt;IFERROR(C170,0),1,0))</f>
        <v>0</v>
      </c>
      <c r="H170" s="44"/>
      <c r="I170" s="44"/>
      <c r="J170" s="44"/>
      <c r="K170" s="44"/>
      <c r="L170" s="44"/>
      <c r="M170" s="44"/>
      <c r="N170" s="44"/>
      <c r="O170" s="44"/>
      <c r="P170" s="44"/>
      <c r="Q170" s="44"/>
      <c r="R170" s="44"/>
      <c r="S170" s="44"/>
      <c r="T170" s="44"/>
      <c r="U170" s="44"/>
      <c r="V170" s="44"/>
      <c r="W170" s="44"/>
      <c r="X170" s="44"/>
      <c r="Y170" s="44"/>
      <c r="Z170" s="44"/>
      <c r="AA170" s="44"/>
      <c r="AB170" s="44"/>
      <c r="AC170" s="44"/>
    </row>
    <row r="171" spans="1:29" ht="15" customHeight="1" x14ac:dyDescent="0.25">
      <c r="A171" s="1" t="str">
        <f>IF(66&lt;=Inputs!$B$3,66,"")</f>
        <v/>
      </c>
      <c r="B171" s="1" t="str">
        <f t="shared" ref="B171:B205" si="26">IF($A171="","",IFERROR(F170,0))</f>
        <v/>
      </c>
      <c r="C171" s="44" t="str">
        <f>IF($A171="","",Inputs!$B$4*12*(1+Inputs!$B$10/100)^($A171-1))</f>
        <v/>
      </c>
      <c r="D171" s="44" t="str">
        <f>IF($A171="","",B171*((Inputs!$B$5-2)/100))</f>
        <v/>
      </c>
      <c r="E171" s="64" t="str">
        <f>IF($A171="","",IFERROR(IF(OR(Inputs!$B$8&lt;=0,Inputs!$B$8=""),0,IF(AND($A171&gt;=Inputs!$B$8,MOD($A171,Inputs!$B$8)=0),Inputs!$B$7*(1+Inputs!$B$6/100)^$A171,0)),0))</f>
        <v/>
      </c>
      <c r="F171" s="44" t="str">
        <f t="shared" si="24"/>
        <v/>
      </c>
      <c r="G171" s="44">
        <f t="shared" si="25"/>
        <v>0</v>
      </c>
      <c r="H171" s="44"/>
      <c r="I171" s="44"/>
      <c r="J171" s="44"/>
      <c r="K171" s="44"/>
      <c r="L171" s="44"/>
      <c r="M171" s="44"/>
      <c r="N171" s="44"/>
      <c r="O171" s="44"/>
      <c r="P171" s="44"/>
      <c r="Q171" s="44"/>
      <c r="R171" s="44"/>
      <c r="S171" s="44"/>
      <c r="T171" s="44"/>
      <c r="U171" s="44"/>
      <c r="V171" s="44"/>
      <c r="W171" s="44"/>
      <c r="X171" s="44"/>
      <c r="Y171" s="44"/>
      <c r="Z171" s="44"/>
      <c r="AA171" s="44"/>
      <c r="AB171" s="44"/>
      <c r="AC171" s="44"/>
    </row>
    <row r="172" spans="1:29" ht="15" customHeight="1" x14ac:dyDescent="0.25">
      <c r="A172" s="1" t="str">
        <f>IF(67&lt;=Inputs!$B$3,67,"")</f>
        <v/>
      </c>
      <c r="B172" s="1" t="str">
        <f t="shared" si="26"/>
        <v/>
      </c>
      <c r="C172" s="44" t="str">
        <f>IF($A172="","",Inputs!$B$4*12*(1+Inputs!$B$10/100)^($A172-1))</f>
        <v/>
      </c>
      <c r="D172" s="44" t="str">
        <f>IF($A172="","",B172*((Inputs!$B$5-2)/100))</f>
        <v/>
      </c>
      <c r="E172" s="64" t="str">
        <f>IF($A172="","",IFERROR(IF(OR(Inputs!$B$8&lt;=0,Inputs!$B$8=""),0,IF(AND($A172&gt;=Inputs!$B$8,MOD($A172,Inputs!$B$8)=0),Inputs!$B$7*(1+Inputs!$B$6/100)^$A172,0)),0))</f>
        <v/>
      </c>
      <c r="F172" s="44" t="str">
        <f t="shared" si="24"/>
        <v/>
      </c>
      <c r="G172" s="44">
        <f t="shared" si="25"/>
        <v>0</v>
      </c>
      <c r="H172" s="44"/>
      <c r="I172" s="44"/>
      <c r="J172" s="44"/>
      <c r="K172" s="44"/>
      <c r="L172" s="44"/>
      <c r="M172" s="44"/>
      <c r="N172" s="44"/>
      <c r="O172" s="44"/>
      <c r="P172" s="44"/>
      <c r="Q172" s="44"/>
      <c r="R172" s="44"/>
      <c r="S172" s="44"/>
      <c r="T172" s="44"/>
      <c r="U172" s="44"/>
      <c r="V172" s="44"/>
      <c r="W172" s="44"/>
      <c r="X172" s="44"/>
      <c r="Y172" s="44"/>
      <c r="Z172" s="44"/>
      <c r="AA172" s="44"/>
      <c r="AB172" s="44"/>
      <c r="AC172" s="44"/>
    </row>
    <row r="173" spans="1:29" ht="15" customHeight="1" x14ac:dyDescent="0.25">
      <c r="A173" s="1" t="str">
        <f>IF(68&lt;=Inputs!$B$3,68,"")</f>
        <v/>
      </c>
      <c r="B173" s="1" t="str">
        <f t="shared" si="26"/>
        <v/>
      </c>
      <c r="C173" s="44" t="str">
        <f>IF($A173="","",Inputs!$B$4*12*(1+Inputs!$B$10/100)^($A173-1))</f>
        <v/>
      </c>
      <c r="D173" s="44" t="str">
        <f>IF($A173="","",B173*((Inputs!$B$5-2)/100))</f>
        <v/>
      </c>
      <c r="E173" s="64" t="str">
        <f>IF($A173="","",IFERROR(IF(OR(Inputs!$B$8&lt;=0,Inputs!$B$8=""),0,IF(AND($A173&gt;=Inputs!$B$8,MOD($A173,Inputs!$B$8)=0),Inputs!$B$7*(1+Inputs!$B$6/100)^$A173,0)),0))</f>
        <v/>
      </c>
      <c r="F173" s="44" t="str">
        <f t="shared" si="24"/>
        <v/>
      </c>
      <c r="G173" s="44">
        <f t="shared" si="25"/>
        <v>0</v>
      </c>
      <c r="H173" s="44"/>
      <c r="I173" s="44"/>
      <c r="J173" s="44"/>
      <c r="K173" s="44"/>
      <c r="L173" s="44"/>
      <c r="M173" s="44"/>
      <c r="N173" s="44"/>
      <c r="O173" s="44"/>
      <c r="P173" s="44"/>
      <c r="Q173" s="44"/>
      <c r="R173" s="44"/>
      <c r="S173" s="44"/>
      <c r="T173" s="44"/>
      <c r="U173" s="44"/>
      <c r="V173" s="44"/>
      <c r="W173" s="44"/>
      <c r="X173" s="44"/>
      <c r="Y173" s="44"/>
      <c r="Z173" s="44"/>
      <c r="AA173" s="44"/>
      <c r="AB173" s="44"/>
      <c r="AC173" s="44"/>
    </row>
    <row r="174" spans="1:29" ht="15" customHeight="1" x14ac:dyDescent="0.25">
      <c r="A174" s="1" t="str">
        <f>IF(69&lt;=Inputs!$B$3,69,"")</f>
        <v/>
      </c>
      <c r="B174" s="1" t="str">
        <f t="shared" si="26"/>
        <v/>
      </c>
      <c r="C174" s="44" t="str">
        <f>IF($A174="","",Inputs!$B$4*12*(1+Inputs!$B$10/100)^($A174-1))</f>
        <v/>
      </c>
      <c r="D174" s="44" t="str">
        <f>IF($A174="","",B174*((Inputs!$B$5-2)/100))</f>
        <v/>
      </c>
      <c r="E174" s="64" t="str">
        <f>IF($A174="","",IFERROR(IF(OR(Inputs!$B$8&lt;=0,Inputs!$B$8=""),0,IF(AND($A174&gt;=Inputs!$B$8,MOD($A174,Inputs!$B$8)=0),Inputs!$B$7*(1+Inputs!$B$6/100)^$A174,0)),0))</f>
        <v/>
      </c>
      <c r="F174" s="44" t="str">
        <f t="shared" si="24"/>
        <v/>
      </c>
      <c r="G174" s="44">
        <f t="shared" si="25"/>
        <v>0</v>
      </c>
      <c r="H174" s="44"/>
      <c r="I174" s="44"/>
      <c r="J174" s="44"/>
      <c r="K174" s="44"/>
      <c r="L174" s="44"/>
      <c r="M174" s="44"/>
      <c r="N174" s="44"/>
      <c r="O174" s="44"/>
      <c r="P174" s="44"/>
      <c r="Q174" s="44"/>
      <c r="R174" s="44"/>
      <c r="S174" s="44"/>
      <c r="T174" s="44"/>
      <c r="U174" s="44"/>
      <c r="V174" s="44"/>
      <c r="W174" s="44"/>
      <c r="X174" s="44"/>
      <c r="Y174" s="44"/>
      <c r="Z174" s="44"/>
      <c r="AA174" s="44"/>
      <c r="AB174" s="44"/>
      <c r="AC174" s="44"/>
    </row>
    <row r="175" spans="1:29" ht="15" customHeight="1" x14ac:dyDescent="0.25">
      <c r="A175" s="1" t="str">
        <f>IF(70&lt;=Inputs!$B$3,70,"")</f>
        <v/>
      </c>
      <c r="B175" s="1" t="str">
        <f t="shared" si="26"/>
        <v/>
      </c>
      <c r="C175" s="44" t="str">
        <f>IF($A175="","",Inputs!$B$4*12*(1+Inputs!$B$10/100)^($A175-1))</f>
        <v/>
      </c>
      <c r="D175" s="44" t="str">
        <f>IF($A175="","",B175*((Inputs!$B$5-2)/100))</f>
        <v/>
      </c>
      <c r="E175" s="64" t="str">
        <f>IF($A175="","",IFERROR(IF(OR(Inputs!$B$8&lt;=0,Inputs!$B$8=""),0,IF(AND($A175&gt;=Inputs!$B$8,MOD($A175,Inputs!$B$8)=0),Inputs!$B$7*(1+Inputs!$B$6/100)^$A175,0)),0))</f>
        <v/>
      </c>
      <c r="F175" s="44" t="str">
        <f t="shared" si="24"/>
        <v/>
      </c>
      <c r="G175" s="44">
        <f t="shared" si="25"/>
        <v>0</v>
      </c>
      <c r="H175" s="44"/>
      <c r="I175" s="44"/>
      <c r="J175" s="44"/>
      <c r="K175" s="44"/>
      <c r="L175" s="44"/>
      <c r="M175" s="44"/>
      <c r="N175" s="44"/>
      <c r="O175" s="44"/>
      <c r="P175" s="44"/>
      <c r="Q175" s="44"/>
      <c r="R175" s="44"/>
      <c r="S175" s="44"/>
      <c r="T175" s="44"/>
      <c r="U175" s="44"/>
      <c r="V175" s="44"/>
      <c r="W175" s="44"/>
      <c r="X175" s="44"/>
      <c r="Y175" s="44"/>
      <c r="Z175" s="44"/>
      <c r="AA175" s="44"/>
      <c r="AB175" s="44"/>
      <c r="AC175" s="44"/>
    </row>
    <row r="176" spans="1:29" ht="15" customHeight="1" x14ac:dyDescent="0.25">
      <c r="A176" s="1" t="str">
        <f>IF(71&lt;=Inputs!$B$3,71,"")</f>
        <v/>
      </c>
      <c r="B176" s="1" t="str">
        <f t="shared" si="26"/>
        <v/>
      </c>
      <c r="C176" s="44" t="str">
        <f>IF($A176="","",Inputs!$B$4*12*(1+Inputs!$B$10/100)^($A176-1))</f>
        <v/>
      </c>
      <c r="D176" s="44" t="str">
        <f>IF($A176="","",B176*((Inputs!$B$5-2)/100))</f>
        <v/>
      </c>
      <c r="E176" s="64" t="str">
        <f>IF($A176="","",IFERROR(IF(OR(Inputs!$B$8&lt;=0,Inputs!$B$8=""),0,IF(AND($A176&gt;=Inputs!$B$8,MOD($A176,Inputs!$B$8)=0),Inputs!$B$7*(1+Inputs!$B$6/100)^$A176,0)),0))</f>
        <v/>
      </c>
      <c r="F176" s="44" t="str">
        <f t="shared" si="24"/>
        <v/>
      </c>
      <c r="G176" s="44">
        <f t="shared" si="25"/>
        <v>0</v>
      </c>
      <c r="H176" s="44"/>
      <c r="I176" s="44"/>
      <c r="J176" s="44"/>
      <c r="K176" s="44"/>
      <c r="L176" s="44"/>
      <c r="M176" s="44"/>
      <c r="N176" s="44"/>
      <c r="O176" s="44"/>
      <c r="P176" s="44"/>
      <c r="Q176" s="44"/>
      <c r="R176" s="44"/>
      <c r="S176" s="44"/>
      <c r="T176" s="44"/>
      <c r="U176" s="44"/>
      <c r="V176" s="44"/>
      <c r="W176" s="44"/>
      <c r="X176" s="44"/>
      <c r="Y176" s="44"/>
      <c r="Z176" s="44"/>
      <c r="AA176" s="44"/>
      <c r="AB176" s="44"/>
      <c r="AC176" s="44"/>
    </row>
    <row r="177" spans="1:29" ht="15" customHeight="1" x14ac:dyDescent="0.25">
      <c r="A177" s="1" t="str">
        <f>IF(72&lt;=Inputs!$B$3,72,"")</f>
        <v/>
      </c>
      <c r="B177" s="1" t="str">
        <f t="shared" si="26"/>
        <v/>
      </c>
      <c r="C177" s="44" t="str">
        <f>IF($A177="","",Inputs!$B$4*12*(1+Inputs!$B$10/100)^($A177-1))</f>
        <v/>
      </c>
      <c r="D177" s="44" t="str">
        <f>IF($A177="","",B177*((Inputs!$B$5-2)/100))</f>
        <v/>
      </c>
      <c r="E177" s="64" t="str">
        <f>IF($A177="","",IFERROR(IF(OR(Inputs!$B$8&lt;=0,Inputs!$B$8=""),0,IF(AND($A177&gt;=Inputs!$B$8,MOD($A177,Inputs!$B$8)=0),Inputs!$B$7*(1+Inputs!$B$6/100)^$A177,0)),0))</f>
        <v/>
      </c>
      <c r="F177" s="44" t="str">
        <f t="shared" si="24"/>
        <v/>
      </c>
      <c r="G177" s="44">
        <f t="shared" si="25"/>
        <v>0</v>
      </c>
      <c r="H177" s="44"/>
      <c r="I177" s="44"/>
      <c r="J177" s="44"/>
      <c r="K177" s="44"/>
      <c r="L177" s="44"/>
      <c r="M177" s="44"/>
      <c r="N177" s="44"/>
      <c r="O177" s="44"/>
      <c r="P177" s="44"/>
      <c r="Q177" s="44"/>
      <c r="R177" s="44"/>
      <c r="S177" s="44"/>
      <c r="T177" s="44"/>
      <c r="U177" s="44"/>
      <c r="V177" s="44"/>
      <c r="W177" s="44"/>
      <c r="X177" s="44"/>
      <c r="Y177" s="44"/>
      <c r="Z177" s="44"/>
      <c r="AA177" s="44"/>
      <c r="AB177" s="44"/>
      <c r="AC177" s="44"/>
    </row>
    <row r="178" spans="1:29" ht="15" customHeight="1" x14ac:dyDescent="0.25">
      <c r="A178" s="1" t="str">
        <f>IF(73&lt;=Inputs!$B$3,73,"")</f>
        <v/>
      </c>
      <c r="B178" s="1" t="str">
        <f t="shared" si="26"/>
        <v/>
      </c>
      <c r="C178" s="44" t="str">
        <f>IF($A178="","",Inputs!$B$4*12*(1+Inputs!$B$10/100)^($A178-1))</f>
        <v/>
      </c>
      <c r="D178" s="44" t="str">
        <f>IF($A178="","",B178*((Inputs!$B$5-2)/100))</f>
        <v/>
      </c>
      <c r="E178" s="64" t="str">
        <f>IF($A178="","",IFERROR(IF(OR(Inputs!$B$8&lt;=0,Inputs!$B$8=""),0,IF(AND($A178&gt;=Inputs!$B$8,MOD($A178,Inputs!$B$8)=0),Inputs!$B$7*(1+Inputs!$B$6/100)^$A178,0)),0))</f>
        <v/>
      </c>
      <c r="F178" s="44" t="str">
        <f t="shared" si="24"/>
        <v/>
      </c>
      <c r="G178" s="44">
        <f t="shared" si="25"/>
        <v>0</v>
      </c>
      <c r="H178" s="44"/>
      <c r="I178" s="44"/>
      <c r="J178" s="44"/>
      <c r="K178" s="44"/>
      <c r="L178" s="44"/>
      <c r="M178" s="44"/>
      <c r="N178" s="44"/>
      <c r="O178" s="44"/>
      <c r="P178" s="44"/>
      <c r="Q178" s="44"/>
      <c r="R178" s="44"/>
      <c r="S178" s="44"/>
      <c r="T178" s="44"/>
      <c r="U178" s="44"/>
      <c r="V178" s="44"/>
      <c r="W178" s="44"/>
      <c r="X178" s="44"/>
      <c r="Y178" s="44"/>
      <c r="Z178" s="44"/>
      <c r="AA178" s="44"/>
      <c r="AB178" s="44"/>
      <c r="AC178" s="44"/>
    </row>
    <row r="179" spans="1:29" ht="15" customHeight="1" x14ac:dyDescent="0.25">
      <c r="A179" s="1" t="str">
        <f>IF(74&lt;=Inputs!$B$3,74,"")</f>
        <v/>
      </c>
      <c r="B179" s="1" t="str">
        <f t="shared" si="26"/>
        <v/>
      </c>
      <c r="C179" s="44" t="str">
        <f>IF($A179="","",Inputs!$B$4*12*(1+Inputs!$B$10/100)^($A179-1))</f>
        <v/>
      </c>
      <c r="D179" s="44" t="str">
        <f>IF($A179="","",B179*((Inputs!$B$5-2)/100))</f>
        <v/>
      </c>
      <c r="E179" s="64" t="str">
        <f>IF($A179="","",IFERROR(IF(OR(Inputs!$B$8&lt;=0,Inputs!$B$8=""),0,IF(AND($A179&gt;=Inputs!$B$8,MOD($A179,Inputs!$B$8)=0),Inputs!$B$7*(1+Inputs!$B$6/100)^$A179,0)),0))</f>
        <v/>
      </c>
      <c r="F179" s="44" t="str">
        <f t="shared" si="24"/>
        <v/>
      </c>
      <c r="G179" s="44">
        <f t="shared" si="25"/>
        <v>0</v>
      </c>
      <c r="H179" s="44"/>
      <c r="I179" s="44"/>
      <c r="J179" s="44"/>
      <c r="K179" s="44"/>
      <c r="L179" s="44"/>
      <c r="M179" s="44"/>
      <c r="N179" s="44"/>
      <c r="O179" s="44"/>
      <c r="P179" s="44"/>
      <c r="Q179" s="44"/>
      <c r="R179" s="44"/>
      <c r="S179" s="44"/>
      <c r="T179" s="44"/>
      <c r="U179" s="44"/>
      <c r="V179" s="44"/>
      <c r="W179" s="44"/>
      <c r="X179" s="44"/>
      <c r="Y179" s="44"/>
      <c r="Z179" s="44"/>
      <c r="AA179" s="44"/>
      <c r="AB179" s="44"/>
      <c r="AC179" s="44"/>
    </row>
    <row r="180" spans="1:29" ht="15" customHeight="1" x14ac:dyDescent="0.25">
      <c r="A180" s="1" t="str">
        <f>IF(75&lt;=Inputs!$B$3,75,"")</f>
        <v/>
      </c>
      <c r="B180" s="1" t="str">
        <f t="shared" si="26"/>
        <v/>
      </c>
      <c r="C180" s="44" t="str">
        <f>IF($A180="","",Inputs!$B$4*12*(1+Inputs!$B$10/100)^($A180-1))</f>
        <v/>
      </c>
      <c r="D180" s="44" t="str">
        <f>IF($A180="","",B180*((Inputs!$B$5-2)/100))</f>
        <v/>
      </c>
      <c r="E180" s="64" t="str">
        <f>IF($A180="","",IFERROR(IF(OR(Inputs!$B$8&lt;=0,Inputs!$B$8=""),0,IF(AND($A180&gt;=Inputs!$B$8,MOD($A180,Inputs!$B$8)=0),Inputs!$B$7*(1+Inputs!$B$6/100)^$A180,0)),0))</f>
        <v/>
      </c>
      <c r="F180" s="44" t="str">
        <f t="shared" si="24"/>
        <v/>
      </c>
      <c r="G180" s="44">
        <f t="shared" si="25"/>
        <v>0</v>
      </c>
      <c r="H180" s="44"/>
      <c r="I180" s="44"/>
      <c r="J180" s="44"/>
      <c r="K180" s="44"/>
      <c r="L180" s="44"/>
      <c r="M180" s="44"/>
      <c r="N180" s="44"/>
      <c r="O180" s="44"/>
      <c r="P180" s="44"/>
      <c r="Q180" s="44"/>
      <c r="R180" s="44"/>
      <c r="S180" s="44"/>
      <c r="T180" s="44"/>
      <c r="U180" s="44"/>
      <c r="V180" s="44"/>
      <c r="W180" s="44"/>
      <c r="X180" s="44"/>
      <c r="Y180" s="44"/>
      <c r="Z180" s="44"/>
      <c r="AA180" s="44"/>
      <c r="AB180" s="44"/>
      <c r="AC180" s="44"/>
    </row>
    <row r="181" spans="1:29" ht="15" customHeight="1" x14ac:dyDescent="0.25">
      <c r="A181" s="1" t="str">
        <f>IF(76&lt;=Inputs!$B$3,76,"")</f>
        <v/>
      </c>
      <c r="B181" s="1" t="str">
        <f t="shared" si="26"/>
        <v/>
      </c>
      <c r="C181" s="44" t="str">
        <f>IF($A181="","",Inputs!$B$4*12*(1+Inputs!$B$10/100)^($A181-1))</f>
        <v/>
      </c>
      <c r="D181" s="44" t="str">
        <f>IF($A181="","",B181*((Inputs!$B$5-2)/100))</f>
        <v/>
      </c>
      <c r="E181" s="64" t="str">
        <f>IF($A181="","",IFERROR(IF(OR(Inputs!$B$8&lt;=0,Inputs!$B$8=""),0,IF(AND($A181&gt;=Inputs!$B$8,MOD($A181,Inputs!$B$8)=0),Inputs!$B$7*(1+Inputs!$B$6/100)^$A181,0)),0))</f>
        <v/>
      </c>
      <c r="F181" s="44" t="str">
        <f t="shared" si="24"/>
        <v/>
      </c>
      <c r="G181" s="44">
        <f t="shared" si="25"/>
        <v>0</v>
      </c>
      <c r="H181" s="44"/>
      <c r="I181" s="44"/>
      <c r="J181" s="44"/>
      <c r="K181" s="44"/>
      <c r="L181" s="44"/>
      <c r="M181" s="44"/>
      <c r="N181" s="44"/>
      <c r="O181" s="44"/>
      <c r="P181" s="44"/>
      <c r="Q181" s="44"/>
      <c r="R181" s="44"/>
      <c r="S181" s="44"/>
      <c r="T181" s="44"/>
      <c r="U181" s="44"/>
      <c r="V181" s="44"/>
      <c r="W181" s="44"/>
      <c r="X181" s="44"/>
      <c r="Y181" s="44"/>
      <c r="Z181" s="44"/>
      <c r="AA181" s="44"/>
      <c r="AB181" s="44"/>
      <c r="AC181" s="44"/>
    </row>
    <row r="182" spans="1:29" ht="15" customHeight="1" x14ac:dyDescent="0.25">
      <c r="A182" s="1" t="str">
        <f>IF(77&lt;=Inputs!$B$3,77,"")</f>
        <v/>
      </c>
      <c r="B182" s="1" t="str">
        <f t="shared" si="26"/>
        <v/>
      </c>
      <c r="C182" s="44" t="str">
        <f>IF($A182="","",Inputs!$B$4*12*(1+Inputs!$B$10/100)^($A182-1))</f>
        <v/>
      </c>
      <c r="D182" s="44" t="str">
        <f>IF($A182="","",B182*((Inputs!$B$5-2)/100))</f>
        <v/>
      </c>
      <c r="E182" s="64" t="str">
        <f>IF($A182="","",IFERROR(IF(OR(Inputs!$B$8&lt;=0,Inputs!$B$8=""),0,IF(AND($A182&gt;=Inputs!$B$8,MOD($A182,Inputs!$B$8)=0),Inputs!$B$7*(1+Inputs!$B$6/100)^$A182,0)),0))</f>
        <v/>
      </c>
      <c r="F182" s="44" t="str">
        <f t="shared" si="24"/>
        <v/>
      </c>
      <c r="G182" s="44">
        <f t="shared" si="25"/>
        <v>0</v>
      </c>
      <c r="H182" s="44"/>
      <c r="I182" s="44"/>
      <c r="J182" s="44"/>
      <c r="K182" s="44"/>
      <c r="L182" s="44"/>
      <c r="M182" s="44"/>
      <c r="N182" s="44"/>
      <c r="O182" s="44"/>
      <c r="P182" s="44"/>
      <c r="Q182" s="44"/>
      <c r="R182" s="44"/>
      <c r="S182" s="44"/>
      <c r="T182" s="44"/>
      <c r="U182" s="44"/>
      <c r="V182" s="44"/>
      <c r="W182" s="44"/>
      <c r="X182" s="44"/>
      <c r="Y182" s="44"/>
      <c r="Z182" s="44"/>
      <c r="AA182" s="44"/>
      <c r="AB182" s="44"/>
      <c r="AC182" s="44"/>
    </row>
    <row r="183" spans="1:29" ht="15" customHeight="1" x14ac:dyDescent="0.25">
      <c r="A183" s="1" t="str">
        <f>IF(78&lt;=Inputs!$B$3,78,"")</f>
        <v/>
      </c>
      <c r="B183" s="1" t="str">
        <f t="shared" si="26"/>
        <v/>
      </c>
      <c r="C183" s="44" t="str">
        <f>IF($A183="","",Inputs!$B$4*12*(1+Inputs!$B$10/100)^($A183-1))</f>
        <v/>
      </c>
      <c r="D183" s="44" t="str">
        <f>IF($A183="","",B183*((Inputs!$B$5-2)/100))</f>
        <v/>
      </c>
      <c r="E183" s="64" t="str">
        <f>IF($A183="","",IFERROR(IF(OR(Inputs!$B$8&lt;=0,Inputs!$B$8=""),0,IF(AND($A183&gt;=Inputs!$B$8,MOD($A183,Inputs!$B$8)=0),Inputs!$B$7*(1+Inputs!$B$6/100)^$A183,0)),0))</f>
        <v/>
      </c>
      <c r="F183" s="44" t="str">
        <f t="shared" si="24"/>
        <v/>
      </c>
      <c r="G183" s="44">
        <f t="shared" si="25"/>
        <v>0</v>
      </c>
      <c r="H183" s="44"/>
      <c r="I183" s="44"/>
      <c r="J183" s="44"/>
      <c r="K183" s="44"/>
      <c r="L183" s="44"/>
      <c r="M183" s="44"/>
      <c r="N183" s="44"/>
      <c r="O183" s="44"/>
      <c r="P183" s="44"/>
      <c r="Q183" s="44"/>
      <c r="R183" s="44"/>
      <c r="S183" s="44"/>
      <c r="T183" s="44"/>
      <c r="U183" s="44"/>
      <c r="V183" s="44"/>
      <c r="W183" s="44"/>
      <c r="X183" s="44"/>
      <c r="Y183" s="44"/>
      <c r="Z183" s="44"/>
      <c r="AA183" s="44"/>
      <c r="AB183" s="44"/>
      <c r="AC183" s="44"/>
    </row>
    <row r="184" spans="1:29" ht="15" customHeight="1" x14ac:dyDescent="0.25">
      <c r="A184" s="1" t="str">
        <f>IF(79&lt;=Inputs!$B$3,79,"")</f>
        <v/>
      </c>
      <c r="B184" s="1" t="str">
        <f t="shared" si="26"/>
        <v/>
      </c>
      <c r="C184" s="44" t="str">
        <f>IF($A184="","",Inputs!$B$4*12*(1+Inputs!$B$10/100)^($A184-1))</f>
        <v/>
      </c>
      <c r="D184" s="44" t="str">
        <f>IF($A184="","",B184*((Inputs!$B$5-2)/100))</f>
        <v/>
      </c>
      <c r="E184" s="64" t="str">
        <f>IF($A184="","",IFERROR(IF(OR(Inputs!$B$8&lt;=0,Inputs!$B$8=""),0,IF(AND($A184&gt;=Inputs!$B$8,MOD($A184,Inputs!$B$8)=0),Inputs!$B$7*(1+Inputs!$B$6/100)^$A184,0)),0))</f>
        <v/>
      </c>
      <c r="F184" s="44" t="str">
        <f t="shared" si="24"/>
        <v/>
      </c>
      <c r="G184" s="44">
        <f t="shared" si="25"/>
        <v>0</v>
      </c>
      <c r="H184" s="44"/>
      <c r="I184" s="44"/>
      <c r="J184" s="44"/>
      <c r="K184" s="44"/>
      <c r="L184" s="44"/>
      <c r="M184" s="44"/>
      <c r="N184" s="44"/>
      <c r="O184" s="44"/>
      <c r="P184" s="44"/>
      <c r="Q184" s="44"/>
      <c r="R184" s="44"/>
      <c r="S184" s="44"/>
      <c r="T184" s="44"/>
      <c r="U184" s="44"/>
      <c r="V184" s="44"/>
      <c r="W184" s="44"/>
      <c r="X184" s="44"/>
      <c r="Y184" s="44"/>
      <c r="Z184" s="44"/>
      <c r="AA184" s="44"/>
      <c r="AB184" s="44"/>
      <c r="AC184" s="44"/>
    </row>
    <row r="185" spans="1:29" ht="15" customHeight="1" x14ac:dyDescent="0.25">
      <c r="A185" s="1" t="str">
        <f>IF(80&lt;=Inputs!$B$3,80,"")</f>
        <v/>
      </c>
      <c r="B185" s="1" t="str">
        <f t="shared" si="26"/>
        <v/>
      </c>
      <c r="C185" s="44" t="str">
        <f>IF($A185="","",Inputs!$B$4*12*(1+Inputs!$B$10/100)^($A185-1))</f>
        <v/>
      </c>
      <c r="D185" s="44" t="str">
        <f>IF($A185="","",B185*((Inputs!$B$5-2)/100))</f>
        <v/>
      </c>
      <c r="E185" s="64" t="str">
        <f>IF($A185="","",IFERROR(IF(OR(Inputs!$B$8&lt;=0,Inputs!$B$8=""),0,IF(AND($A185&gt;=Inputs!$B$8,MOD($A185,Inputs!$B$8)=0),Inputs!$B$7*(1+Inputs!$B$6/100)^$A185,0)),0))</f>
        <v/>
      </c>
      <c r="F185" s="44" t="str">
        <f t="shared" si="24"/>
        <v/>
      </c>
      <c r="G185" s="44">
        <f t="shared" si="25"/>
        <v>0</v>
      </c>
      <c r="H185" s="44"/>
      <c r="I185" s="44"/>
      <c r="J185" s="44"/>
      <c r="K185" s="44"/>
      <c r="L185" s="44"/>
      <c r="M185" s="44"/>
      <c r="N185" s="44"/>
      <c r="O185" s="44"/>
      <c r="P185" s="44"/>
      <c r="Q185" s="44"/>
      <c r="R185" s="44"/>
      <c r="S185" s="44"/>
      <c r="T185" s="44"/>
      <c r="U185" s="44"/>
      <c r="V185" s="44"/>
      <c r="W185" s="44"/>
      <c r="X185" s="44"/>
      <c r="Y185" s="44"/>
      <c r="Z185" s="44"/>
      <c r="AA185" s="44"/>
      <c r="AB185" s="44"/>
      <c r="AC185" s="44"/>
    </row>
    <row r="186" spans="1:29" ht="15" customHeight="1" x14ac:dyDescent="0.25">
      <c r="A186" s="1" t="str">
        <f>IF(81&lt;=Inputs!$B$3,81,"")</f>
        <v/>
      </c>
      <c r="B186" s="1" t="str">
        <f t="shared" si="26"/>
        <v/>
      </c>
      <c r="C186" s="44" t="str">
        <f>IF($A186="","",Inputs!$B$4*12*(1+Inputs!$B$10/100)^($A186-1))</f>
        <v/>
      </c>
      <c r="D186" s="44" t="str">
        <f>IF($A186="","",B186*((Inputs!$B$5-2)/100))</f>
        <v/>
      </c>
      <c r="E186" s="64" t="str">
        <f>IF($A186="","",IFERROR(IF(OR(Inputs!$B$8&lt;=0,Inputs!$B$8=""),0,IF(AND($A186&gt;=Inputs!$B$8,MOD($A186,Inputs!$B$8)=0),Inputs!$B$7*(1+Inputs!$B$6/100)^$A186,0)),0))</f>
        <v/>
      </c>
      <c r="F186" s="44" t="str">
        <f t="shared" si="24"/>
        <v/>
      </c>
      <c r="G186" s="44">
        <f t="shared" si="25"/>
        <v>0</v>
      </c>
      <c r="H186" s="44"/>
      <c r="I186" s="44"/>
      <c r="J186" s="44"/>
      <c r="K186" s="44"/>
      <c r="L186" s="44"/>
      <c r="M186" s="44"/>
      <c r="N186" s="44"/>
      <c r="O186" s="44"/>
      <c r="P186" s="44"/>
      <c r="Q186" s="44"/>
      <c r="R186" s="44"/>
      <c r="S186" s="44"/>
      <c r="T186" s="44"/>
      <c r="U186" s="44"/>
      <c r="V186" s="44"/>
      <c r="W186" s="44"/>
      <c r="X186" s="44"/>
      <c r="Y186" s="44"/>
      <c r="Z186" s="44"/>
      <c r="AA186" s="44"/>
      <c r="AB186" s="44"/>
      <c r="AC186" s="44"/>
    </row>
    <row r="187" spans="1:29" ht="15" customHeight="1" x14ac:dyDescent="0.25">
      <c r="A187" s="1" t="str">
        <f>IF(82&lt;=Inputs!$B$3,82,"")</f>
        <v/>
      </c>
      <c r="B187" s="1" t="str">
        <f t="shared" si="26"/>
        <v/>
      </c>
      <c r="C187" s="44" t="str">
        <f>IF($A187="","",Inputs!$B$4*12*(1+Inputs!$B$10/100)^($A187-1))</f>
        <v/>
      </c>
      <c r="D187" s="44" t="str">
        <f>IF($A187="","",B187*((Inputs!$B$5-2)/100))</f>
        <v/>
      </c>
      <c r="E187" s="64" t="str">
        <f>IF($A187="","",IFERROR(IF(OR(Inputs!$B$8&lt;=0,Inputs!$B$8=""),0,IF(AND($A187&gt;=Inputs!$B$8,MOD($A187,Inputs!$B$8)=0),Inputs!$B$7*(1+Inputs!$B$6/100)^$A187,0)),0))</f>
        <v/>
      </c>
      <c r="F187" s="44" t="str">
        <f t="shared" si="24"/>
        <v/>
      </c>
      <c r="G187" s="44">
        <f t="shared" si="25"/>
        <v>0</v>
      </c>
      <c r="H187" s="44"/>
      <c r="I187" s="44"/>
      <c r="J187" s="44"/>
      <c r="K187" s="44"/>
      <c r="L187" s="44"/>
      <c r="M187" s="44"/>
      <c r="N187" s="44"/>
      <c r="O187" s="44"/>
      <c r="P187" s="44"/>
      <c r="Q187" s="44"/>
      <c r="R187" s="44"/>
      <c r="S187" s="44"/>
      <c r="T187" s="44"/>
      <c r="U187" s="44"/>
      <c r="V187" s="44"/>
      <c r="W187" s="44"/>
      <c r="X187" s="44"/>
      <c r="Y187" s="44"/>
      <c r="Z187" s="44"/>
      <c r="AA187" s="44"/>
      <c r="AB187" s="44"/>
      <c r="AC187" s="44"/>
    </row>
    <row r="188" spans="1:29" ht="15" customHeight="1" x14ac:dyDescent="0.25">
      <c r="A188" s="1" t="str">
        <f>IF(83&lt;=Inputs!$B$3,83,"")</f>
        <v/>
      </c>
      <c r="B188" s="1" t="str">
        <f t="shared" si="26"/>
        <v/>
      </c>
      <c r="C188" s="44" t="str">
        <f>IF($A188="","",Inputs!$B$4*12*(1+Inputs!$B$10/100)^($A188-1))</f>
        <v/>
      </c>
      <c r="D188" s="44" t="str">
        <f>IF($A188="","",B188*((Inputs!$B$5-2)/100))</f>
        <v/>
      </c>
      <c r="E188" s="64" t="str">
        <f>IF($A188="","",IFERROR(IF(OR(Inputs!$B$8&lt;=0,Inputs!$B$8=""),0,IF(AND($A188&gt;=Inputs!$B$8,MOD($A188,Inputs!$B$8)=0),Inputs!$B$7*(1+Inputs!$B$6/100)^$A188,0)),0))</f>
        <v/>
      </c>
      <c r="F188" s="44" t="str">
        <f t="shared" si="24"/>
        <v/>
      </c>
      <c r="G188" s="44">
        <f t="shared" si="25"/>
        <v>0</v>
      </c>
      <c r="H188" s="44"/>
      <c r="I188" s="44"/>
      <c r="J188" s="44"/>
      <c r="K188" s="44"/>
      <c r="L188" s="44"/>
      <c r="M188" s="44"/>
      <c r="N188" s="44"/>
      <c r="O188" s="44"/>
      <c r="P188" s="44"/>
      <c r="Q188" s="44"/>
      <c r="R188" s="44"/>
      <c r="S188" s="44"/>
      <c r="T188" s="44"/>
      <c r="U188" s="44"/>
      <c r="V188" s="44"/>
      <c r="W188" s="44"/>
      <c r="X188" s="44"/>
      <c r="Y188" s="44"/>
      <c r="Z188" s="44"/>
      <c r="AA188" s="44"/>
      <c r="AB188" s="44"/>
      <c r="AC188" s="44"/>
    </row>
    <row r="189" spans="1:29" ht="15" customHeight="1" x14ac:dyDescent="0.25">
      <c r="A189" s="1" t="str">
        <f>IF(84&lt;=Inputs!$B$3,84,"")</f>
        <v/>
      </c>
      <c r="B189" s="1" t="str">
        <f t="shared" si="26"/>
        <v/>
      </c>
      <c r="C189" s="44" t="str">
        <f>IF($A189="","",Inputs!$B$4*12*(1+Inputs!$B$10/100)^($A189-1))</f>
        <v/>
      </c>
      <c r="D189" s="44" t="str">
        <f>IF($A189="","",B189*((Inputs!$B$5-2)/100))</f>
        <v/>
      </c>
      <c r="E189" s="64" t="str">
        <f>IF($A189="","",IFERROR(IF(OR(Inputs!$B$8&lt;=0,Inputs!$B$8=""),0,IF(AND($A189&gt;=Inputs!$B$8,MOD($A189,Inputs!$B$8)=0),Inputs!$B$7*(1+Inputs!$B$6/100)^$A189,0)),0))</f>
        <v/>
      </c>
      <c r="F189" s="44" t="str">
        <f t="shared" si="24"/>
        <v/>
      </c>
      <c r="G189" s="44">
        <f t="shared" si="25"/>
        <v>0</v>
      </c>
      <c r="H189" s="44"/>
      <c r="I189" s="44"/>
      <c r="J189" s="44"/>
      <c r="K189" s="44"/>
      <c r="L189" s="44"/>
      <c r="M189" s="44"/>
      <c r="N189" s="44"/>
      <c r="O189" s="44"/>
      <c r="P189" s="44"/>
      <c r="Q189" s="44"/>
      <c r="R189" s="44"/>
      <c r="S189" s="44"/>
      <c r="T189" s="44"/>
      <c r="U189" s="44"/>
      <c r="V189" s="44"/>
      <c r="W189" s="44"/>
      <c r="X189" s="44"/>
      <c r="Y189" s="44"/>
      <c r="Z189" s="44"/>
      <c r="AA189" s="44"/>
      <c r="AB189" s="44"/>
      <c r="AC189" s="44"/>
    </row>
    <row r="190" spans="1:29" ht="15" customHeight="1" x14ac:dyDescent="0.25">
      <c r="A190" s="1" t="str">
        <f>IF(85&lt;=Inputs!$B$3,85,"")</f>
        <v/>
      </c>
      <c r="B190" s="1" t="str">
        <f t="shared" si="26"/>
        <v/>
      </c>
      <c r="C190" s="44" t="str">
        <f>IF($A190="","",Inputs!$B$4*12*(1+Inputs!$B$10/100)^($A190-1))</f>
        <v/>
      </c>
      <c r="D190" s="44" t="str">
        <f>IF($A190="","",B190*((Inputs!$B$5-2)/100))</f>
        <v/>
      </c>
      <c r="E190" s="64" t="str">
        <f>IF($A190="","",IFERROR(IF(OR(Inputs!$B$8&lt;=0,Inputs!$B$8=""),0,IF(AND($A190&gt;=Inputs!$B$8,MOD($A190,Inputs!$B$8)=0),Inputs!$B$7*(1+Inputs!$B$6/100)^$A190,0)),0))</f>
        <v/>
      </c>
      <c r="F190" s="44" t="str">
        <f t="shared" si="24"/>
        <v/>
      </c>
      <c r="G190" s="44">
        <f t="shared" si="25"/>
        <v>0</v>
      </c>
      <c r="H190" s="44"/>
      <c r="I190" s="44"/>
      <c r="J190" s="44"/>
      <c r="K190" s="44"/>
      <c r="L190" s="44"/>
      <c r="M190" s="44"/>
      <c r="N190" s="44"/>
      <c r="O190" s="44"/>
      <c r="P190" s="44"/>
      <c r="Q190" s="44"/>
      <c r="R190" s="44"/>
      <c r="S190" s="44"/>
      <c r="T190" s="44"/>
      <c r="U190" s="44"/>
      <c r="V190" s="44"/>
      <c r="W190" s="44"/>
      <c r="X190" s="44"/>
      <c r="Y190" s="44"/>
      <c r="Z190" s="44"/>
      <c r="AA190" s="44"/>
      <c r="AB190" s="44"/>
      <c r="AC190" s="44"/>
    </row>
    <row r="191" spans="1:29" ht="15" customHeight="1" x14ac:dyDescent="0.25">
      <c r="A191" s="1" t="str">
        <f>IF(86&lt;=Inputs!$B$3,86,"")</f>
        <v/>
      </c>
      <c r="B191" s="1" t="str">
        <f t="shared" si="26"/>
        <v/>
      </c>
      <c r="C191" s="44" t="str">
        <f>IF($A191="","",Inputs!$B$4*12*(1+Inputs!$B$10/100)^($A191-1))</f>
        <v/>
      </c>
      <c r="D191" s="44" t="str">
        <f>IF($A191="","",B191*((Inputs!$B$5-2)/100))</f>
        <v/>
      </c>
      <c r="E191" s="64" t="str">
        <f>IF($A191="","",IFERROR(IF(OR(Inputs!$B$8&lt;=0,Inputs!$B$8=""),0,IF(AND($A191&gt;=Inputs!$B$8,MOD($A191,Inputs!$B$8)=0),Inputs!$B$7*(1+Inputs!$B$6/100)^$A191,0)),0))</f>
        <v/>
      </c>
      <c r="F191" s="44" t="str">
        <f t="shared" si="24"/>
        <v/>
      </c>
      <c r="G191" s="44">
        <f t="shared" si="25"/>
        <v>0</v>
      </c>
      <c r="H191" s="44"/>
      <c r="I191" s="44"/>
      <c r="J191" s="44"/>
      <c r="K191" s="44"/>
      <c r="L191" s="44"/>
      <c r="M191" s="44"/>
      <c r="N191" s="44"/>
      <c r="O191" s="44"/>
      <c r="P191" s="44"/>
      <c r="Q191" s="44"/>
      <c r="R191" s="44"/>
      <c r="S191" s="44"/>
      <c r="T191" s="44"/>
      <c r="U191" s="44"/>
      <c r="V191" s="44"/>
      <c r="W191" s="44"/>
      <c r="X191" s="44"/>
      <c r="Y191" s="44"/>
      <c r="Z191" s="44"/>
      <c r="AA191" s="44"/>
      <c r="AB191" s="44"/>
      <c r="AC191" s="44"/>
    </row>
    <row r="192" spans="1:29" ht="15" customHeight="1" x14ac:dyDescent="0.25">
      <c r="A192" s="1" t="str">
        <f>IF(87&lt;=Inputs!$B$3,87,"")</f>
        <v/>
      </c>
      <c r="B192" s="1" t="str">
        <f t="shared" si="26"/>
        <v/>
      </c>
      <c r="C192" s="44" t="str">
        <f>IF($A192="","",Inputs!$B$4*12*(1+Inputs!$B$10/100)^($A192-1))</f>
        <v/>
      </c>
      <c r="D192" s="44" t="str">
        <f>IF($A192="","",B192*((Inputs!$B$5-2)/100))</f>
        <v/>
      </c>
      <c r="E192" s="64" t="str">
        <f>IF($A192="","",IFERROR(IF(OR(Inputs!$B$8&lt;=0,Inputs!$B$8=""),0,IF(AND($A192&gt;=Inputs!$B$8,MOD($A192,Inputs!$B$8)=0),Inputs!$B$7*(1+Inputs!$B$6/100)^$A192,0)),0))</f>
        <v/>
      </c>
      <c r="F192" s="44" t="str">
        <f t="shared" si="24"/>
        <v/>
      </c>
      <c r="G192" s="44">
        <f t="shared" si="25"/>
        <v>0</v>
      </c>
      <c r="H192" s="44"/>
      <c r="I192" s="44"/>
      <c r="J192" s="44"/>
      <c r="K192" s="44"/>
      <c r="L192" s="44"/>
      <c r="M192" s="44"/>
      <c r="N192" s="44"/>
      <c r="O192" s="44"/>
      <c r="P192" s="44"/>
      <c r="Q192" s="44"/>
      <c r="R192" s="44"/>
      <c r="S192" s="44"/>
      <c r="T192" s="44"/>
      <c r="U192" s="44"/>
      <c r="V192" s="44"/>
      <c r="W192" s="44"/>
      <c r="X192" s="44"/>
      <c r="Y192" s="44"/>
      <c r="Z192" s="44"/>
      <c r="AA192" s="44"/>
      <c r="AB192" s="44"/>
      <c r="AC192" s="44"/>
    </row>
    <row r="193" spans="1:29" ht="15" customHeight="1" x14ac:dyDescent="0.25">
      <c r="A193" s="1" t="str">
        <f>IF(88&lt;=Inputs!$B$3,88,"")</f>
        <v/>
      </c>
      <c r="B193" s="1" t="str">
        <f t="shared" si="26"/>
        <v/>
      </c>
      <c r="C193" s="44" t="str">
        <f>IF($A193="","",Inputs!$B$4*12*(1+Inputs!$B$10/100)^($A193-1))</f>
        <v/>
      </c>
      <c r="D193" s="44" t="str">
        <f>IF($A193="","",B193*((Inputs!$B$5-2)/100))</f>
        <v/>
      </c>
      <c r="E193" s="64" t="str">
        <f>IF($A193="","",IFERROR(IF(OR(Inputs!$B$8&lt;=0,Inputs!$B$8=""),0,IF(AND($A193&gt;=Inputs!$B$8,MOD($A193,Inputs!$B$8)=0),Inputs!$B$7*(1+Inputs!$B$6/100)^$A193,0)),0))</f>
        <v/>
      </c>
      <c r="F193" s="44" t="str">
        <f t="shared" si="24"/>
        <v/>
      </c>
      <c r="G193" s="44">
        <f t="shared" si="25"/>
        <v>0</v>
      </c>
      <c r="H193" s="44"/>
      <c r="I193" s="44"/>
      <c r="J193" s="44"/>
      <c r="K193" s="44"/>
      <c r="L193" s="44"/>
      <c r="M193" s="44"/>
      <c r="N193" s="44"/>
      <c r="O193" s="44"/>
      <c r="P193" s="44"/>
      <c r="Q193" s="44"/>
      <c r="R193" s="44"/>
      <c r="S193" s="44"/>
      <c r="T193" s="44"/>
      <c r="U193" s="44"/>
      <c r="V193" s="44"/>
      <c r="W193" s="44"/>
      <c r="X193" s="44"/>
      <c r="Y193" s="44"/>
      <c r="Z193" s="44"/>
      <c r="AA193" s="44"/>
      <c r="AB193" s="44"/>
      <c r="AC193" s="44"/>
    </row>
    <row r="194" spans="1:29" ht="15" customHeight="1" x14ac:dyDescent="0.25">
      <c r="A194" s="1" t="str">
        <f>IF(89&lt;=Inputs!$B$3,89,"")</f>
        <v/>
      </c>
      <c r="B194" s="1" t="str">
        <f t="shared" si="26"/>
        <v/>
      </c>
      <c r="C194" s="44" t="str">
        <f>IF($A194="","",Inputs!$B$4*12*(1+Inputs!$B$10/100)^($A194-1))</f>
        <v/>
      </c>
      <c r="D194" s="44" t="str">
        <f>IF($A194="","",B194*((Inputs!$B$5-2)/100))</f>
        <v/>
      </c>
      <c r="E194" s="64" t="str">
        <f>IF($A194="","",IFERROR(IF(OR(Inputs!$B$8&lt;=0,Inputs!$B$8=""),0,IF(AND($A194&gt;=Inputs!$B$8,MOD($A194,Inputs!$B$8)=0),Inputs!$B$7*(1+Inputs!$B$6/100)^$A194,0)),0))</f>
        <v/>
      </c>
      <c r="F194" s="44" t="str">
        <f t="shared" si="24"/>
        <v/>
      </c>
      <c r="G194" s="44">
        <f t="shared" si="25"/>
        <v>0</v>
      </c>
      <c r="H194" s="44"/>
      <c r="I194" s="44"/>
      <c r="J194" s="44"/>
      <c r="K194" s="44"/>
      <c r="L194" s="44"/>
      <c r="M194" s="44"/>
      <c r="N194" s="44"/>
      <c r="O194" s="44"/>
      <c r="P194" s="44"/>
      <c r="Q194" s="44"/>
      <c r="R194" s="44"/>
      <c r="S194" s="44"/>
      <c r="T194" s="44"/>
      <c r="U194" s="44"/>
      <c r="V194" s="44"/>
      <c r="W194" s="44"/>
      <c r="X194" s="44"/>
      <c r="Y194" s="44"/>
      <c r="Z194" s="44"/>
      <c r="AA194" s="44"/>
      <c r="AB194" s="44"/>
      <c r="AC194" s="44"/>
    </row>
    <row r="195" spans="1:29" ht="15" customHeight="1" x14ac:dyDescent="0.25">
      <c r="A195" s="1" t="str">
        <f>IF(90&lt;=Inputs!$B$3,90,"")</f>
        <v/>
      </c>
      <c r="B195" s="1" t="str">
        <f t="shared" si="26"/>
        <v/>
      </c>
      <c r="C195" s="44" t="str">
        <f>IF($A195="","",Inputs!$B$4*12*(1+Inputs!$B$10/100)^($A195-1))</f>
        <v/>
      </c>
      <c r="D195" s="44" t="str">
        <f>IF($A195="","",B195*((Inputs!$B$5-2)/100))</f>
        <v/>
      </c>
      <c r="E195" s="64" t="str">
        <f>IF($A195="","",IFERROR(IF(OR(Inputs!$B$8&lt;=0,Inputs!$B$8=""),0,IF(AND($A195&gt;=Inputs!$B$8,MOD($A195,Inputs!$B$8)=0),Inputs!$B$7*(1+Inputs!$B$6/100)^$A195,0)),0))</f>
        <v/>
      </c>
      <c r="F195" s="44" t="str">
        <f t="shared" si="24"/>
        <v/>
      </c>
      <c r="G195" s="44">
        <f t="shared" si="25"/>
        <v>0</v>
      </c>
      <c r="H195" s="44"/>
      <c r="I195" s="44"/>
      <c r="J195" s="44"/>
      <c r="K195" s="44"/>
      <c r="L195" s="44"/>
      <c r="M195" s="44"/>
      <c r="N195" s="44"/>
      <c r="O195" s="44"/>
      <c r="P195" s="44"/>
      <c r="Q195" s="44"/>
      <c r="R195" s="44"/>
      <c r="S195" s="44"/>
      <c r="T195" s="44"/>
      <c r="U195" s="44"/>
      <c r="V195" s="44"/>
      <c r="W195" s="44"/>
      <c r="X195" s="44"/>
      <c r="Y195" s="44"/>
      <c r="Z195" s="44"/>
      <c r="AA195" s="44"/>
      <c r="AB195" s="44"/>
      <c r="AC195" s="44"/>
    </row>
    <row r="196" spans="1:29" ht="15" customHeight="1" x14ac:dyDescent="0.25">
      <c r="A196" s="1" t="str">
        <f>IF(91&lt;=Inputs!$B$3,91,"")</f>
        <v/>
      </c>
      <c r="B196" s="1" t="str">
        <f t="shared" si="26"/>
        <v/>
      </c>
      <c r="C196" s="44" t="str">
        <f>IF($A196="","",Inputs!$B$4*12*(1+Inputs!$B$10/100)^($A196-1))</f>
        <v/>
      </c>
      <c r="D196" s="44" t="str">
        <f>IF($A196="","",B196*((Inputs!$B$5-2)/100))</f>
        <v/>
      </c>
      <c r="E196" s="64" t="str">
        <f>IF($A196="","",IFERROR(IF(OR(Inputs!$B$8&lt;=0,Inputs!$B$8=""),0,IF(AND($A196&gt;=Inputs!$B$8,MOD($A196,Inputs!$B$8)=0),Inputs!$B$7*(1+Inputs!$B$6/100)^$A196,0)),0))</f>
        <v/>
      </c>
      <c r="F196" s="44" t="str">
        <f t="shared" si="24"/>
        <v/>
      </c>
      <c r="G196" s="44">
        <f t="shared" si="25"/>
        <v>0</v>
      </c>
      <c r="H196" s="44"/>
      <c r="I196" s="44"/>
      <c r="J196" s="44"/>
      <c r="K196" s="44"/>
      <c r="L196" s="44"/>
      <c r="M196" s="44"/>
      <c r="N196" s="44"/>
      <c r="O196" s="44"/>
      <c r="P196" s="44"/>
      <c r="Q196" s="44"/>
      <c r="R196" s="44"/>
      <c r="S196" s="44"/>
      <c r="T196" s="44"/>
      <c r="U196" s="44"/>
      <c r="V196" s="44"/>
      <c r="W196" s="44"/>
      <c r="X196" s="44"/>
      <c r="Y196" s="44"/>
      <c r="Z196" s="44"/>
      <c r="AA196" s="44"/>
      <c r="AB196" s="44"/>
      <c r="AC196" s="44"/>
    </row>
    <row r="197" spans="1:29" ht="15" customHeight="1" x14ac:dyDescent="0.25">
      <c r="A197" s="1" t="str">
        <f>IF(92&lt;=Inputs!$B$3,92,"")</f>
        <v/>
      </c>
      <c r="B197" s="1" t="str">
        <f t="shared" si="26"/>
        <v/>
      </c>
      <c r="C197" s="44" t="str">
        <f>IF($A197="","",Inputs!$B$4*12*(1+Inputs!$B$10/100)^($A197-1))</f>
        <v/>
      </c>
      <c r="D197" s="44" t="str">
        <f>IF($A197="","",B197*((Inputs!$B$5-2)/100))</f>
        <v/>
      </c>
      <c r="E197" s="64" t="str">
        <f>IF($A197="","",IFERROR(IF(OR(Inputs!$B$8&lt;=0,Inputs!$B$8=""),0,IF(AND($A197&gt;=Inputs!$B$8,MOD($A197,Inputs!$B$8)=0),Inputs!$B$7*(1+Inputs!$B$6/100)^$A197,0)),0))</f>
        <v/>
      </c>
      <c r="F197" s="44" t="str">
        <f t="shared" si="24"/>
        <v/>
      </c>
      <c r="G197" s="44">
        <f t="shared" si="25"/>
        <v>0</v>
      </c>
      <c r="H197" s="44"/>
      <c r="I197" s="44"/>
      <c r="J197" s="44"/>
      <c r="K197" s="44"/>
      <c r="L197" s="44"/>
      <c r="M197" s="44"/>
      <c r="N197" s="44"/>
      <c r="O197" s="44"/>
      <c r="P197" s="44"/>
      <c r="Q197" s="44"/>
      <c r="R197" s="44"/>
      <c r="S197" s="44"/>
      <c r="T197" s="44"/>
      <c r="U197" s="44"/>
      <c r="V197" s="44"/>
      <c r="W197" s="44"/>
      <c r="X197" s="44"/>
      <c r="Y197" s="44"/>
      <c r="Z197" s="44"/>
      <c r="AA197" s="44"/>
      <c r="AB197" s="44"/>
      <c r="AC197" s="44"/>
    </row>
    <row r="198" spans="1:29" ht="15" customHeight="1" x14ac:dyDescent="0.25">
      <c r="A198" s="1" t="str">
        <f>IF(93&lt;=Inputs!$B$3,93,"")</f>
        <v/>
      </c>
      <c r="B198" s="1" t="str">
        <f t="shared" si="26"/>
        <v/>
      </c>
      <c r="C198" s="44" t="str">
        <f>IF($A198="","",Inputs!$B$4*12*(1+Inputs!$B$10/100)^($A198-1))</f>
        <v/>
      </c>
      <c r="D198" s="44" t="str">
        <f>IF($A198="","",B198*((Inputs!$B$5-2)/100))</f>
        <v/>
      </c>
      <c r="E198" s="64" t="str">
        <f>IF($A198="","",IFERROR(IF(OR(Inputs!$B$8&lt;=0,Inputs!$B$8=""),0,IF(AND($A198&gt;=Inputs!$B$8,MOD($A198,Inputs!$B$8)=0),Inputs!$B$7*(1+Inputs!$B$6/100)^$A198,0)),0))</f>
        <v/>
      </c>
      <c r="F198" s="44" t="str">
        <f t="shared" si="24"/>
        <v/>
      </c>
      <c r="G198" s="44">
        <f t="shared" si="25"/>
        <v>0</v>
      </c>
      <c r="H198" s="44"/>
      <c r="I198" s="44"/>
      <c r="J198" s="44"/>
      <c r="K198" s="44"/>
      <c r="L198" s="44"/>
      <c r="M198" s="44"/>
      <c r="N198" s="44"/>
      <c r="O198" s="44"/>
      <c r="P198" s="44"/>
      <c r="Q198" s="44"/>
      <c r="R198" s="44"/>
      <c r="S198" s="44"/>
      <c r="T198" s="44"/>
      <c r="U198" s="44"/>
      <c r="V198" s="44"/>
      <c r="W198" s="44"/>
      <c r="X198" s="44"/>
      <c r="Y198" s="44"/>
      <c r="Z198" s="44"/>
      <c r="AA198" s="44"/>
      <c r="AB198" s="44"/>
      <c r="AC198" s="44"/>
    </row>
    <row r="199" spans="1:29" ht="15" customHeight="1" x14ac:dyDescent="0.25">
      <c r="A199" s="1" t="str">
        <f>IF(94&lt;=Inputs!$B$3,94,"")</f>
        <v/>
      </c>
      <c r="B199" s="1" t="str">
        <f t="shared" si="26"/>
        <v/>
      </c>
      <c r="C199" s="44" t="str">
        <f>IF($A199="","",Inputs!$B$4*12*(1+Inputs!$B$10/100)^($A199-1))</f>
        <v/>
      </c>
      <c r="D199" s="44" t="str">
        <f>IF($A199="","",B199*((Inputs!$B$5-2)/100))</f>
        <v/>
      </c>
      <c r="E199" s="64" t="str">
        <f>IF($A199="","",IFERROR(IF(OR(Inputs!$B$8&lt;=0,Inputs!$B$8=""),0,IF(AND($A199&gt;=Inputs!$B$8,MOD($A199,Inputs!$B$8)=0),Inputs!$B$7*(1+Inputs!$B$6/100)^$A199,0)),0))</f>
        <v/>
      </c>
      <c r="F199" s="44" t="str">
        <f t="shared" si="24"/>
        <v/>
      </c>
      <c r="G199" s="44">
        <f t="shared" si="25"/>
        <v>0</v>
      </c>
      <c r="H199" s="44"/>
      <c r="I199" s="44"/>
      <c r="J199" s="44"/>
      <c r="K199" s="44"/>
      <c r="L199" s="44"/>
      <c r="M199" s="44"/>
      <c r="N199" s="44"/>
      <c r="O199" s="44"/>
      <c r="P199" s="44"/>
      <c r="Q199" s="44"/>
      <c r="R199" s="44"/>
      <c r="S199" s="44"/>
      <c r="T199" s="44"/>
      <c r="U199" s="44"/>
      <c r="V199" s="44"/>
      <c r="W199" s="44"/>
      <c r="X199" s="44"/>
      <c r="Y199" s="44"/>
      <c r="Z199" s="44"/>
      <c r="AA199" s="44"/>
      <c r="AB199" s="44"/>
      <c r="AC199" s="44"/>
    </row>
    <row r="200" spans="1:29" ht="15" customHeight="1" x14ac:dyDescent="0.25">
      <c r="A200" s="1" t="str">
        <f>IF(95&lt;=Inputs!$B$3,95,"")</f>
        <v/>
      </c>
      <c r="B200" s="1" t="str">
        <f t="shared" si="26"/>
        <v/>
      </c>
      <c r="C200" s="44" t="str">
        <f>IF($A200="","",Inputs!$B$4*12*(1+Inputs!$B$10/100)^($A200-1))</f>
        <v/>
      </c>
      <c r="D200" s="44" t="str">
        <f>IF($A200="","",B200*((Inputs!$B$5-2)/100))</f>
        <v/>
      </c>
      <c r="E200" s="64" t="str">
        <f>IF($A200="","",IFERROR(IF(OR(Inputs!$B$8&lt;=0,Inputs!$B$8=""),0,IF(AND($A200&gt;=Inputs!$B$8,MOD($A200,Inputs!$B$8)=0),Inputs!$B$7*(1+Inputs!$B$6/100)^$A200,0)),0))</f>
        <v/>
      </c>
      <c r="F200" s="44" t="str">
        <f t="shared" si="24"/>
        <v/>
      </c>
      <c r="G200" s="44">
        <f t="shared" si="25"/>
        <v>0</v>
      </c>
      <c r="H200" s="44"/>
      <c r="I200" s="44"/>
      <c r="J200" s="44"/>
      <c r="K200" s="44"/>
      <c r="L200" s="44"/>
      <c r="M200" s="44"/>
      <c r="N200" s="44"/>
      <c r="O200" s="44"/>
      <c r="P200" s="44"/>
      <c r="Q200" s="44"/>
      <c r="R200" s="44"/>
      <c r="S200" s="44"/>
      <c r="T200" s="44"/>
      <c r="U200" s="44"/>
      <c r="V200" s="44"/>
      <c r="W200" s="44"/>
      <c r="X200" s="44"/>
      <c r="Y200" s="44"/>
      <c r="Z200" s="44"/>
      <c r="AA200" s="44"/>
      <c r="AB200" s="44"/>
      <c r="AC200" s="44"/>
    </row>
    <row r="201" spans="1:29" ht="15" customHeight="1" x14ac:dyDescent="0.25">
      <c r="A201" s="1" t="str">
        <f>IF(96&lt;=Inputs!$B$3,96,"")</f>
        <v/>
      </c>
      <c r="B201" s="1" t="str">
        <f t="shared" si="26"/>
        <v/>
      </c>
      <c r="C201" s="44" t="str">
        <f>IF($A201="","",Inputs!$B$4*12*(1+Inputs!$B$10/100)^($A201-1))</f>
        <v/>
      </c>
      <c r="D201" s="44" t="str">
        <f>IF($A201="","",B201*((Inputs!$B$5-2)/100))</f>
        <v/>
      </c>
      <c r="E201" s="64" t="str">
        <f>IF($A201="","",IFERROR(IF(OR(Inputs!$B$8&lt;=0,Inputs!$B$8=""),0,IF(AND($A201&gt;=Inputs!$B$8,MOD($A201,Inputs!$B$8)=0),Inputs!$B$7*(1+Inputs!$B$6/100)^$A201,0)),0))</f>
        <v/>
      </c>
      <c r="F201" s="44" t="str">
        <f t="shared" si="24"/>
        <v/>
      </c>
      <c r="G201" s="44">
        <f t="shared" si="25"/>
        <v>0</v>
      </c>
      <c r="H201" s="44"/>
      <c r="I201" s="44"/>
      <c r="J201" s="44"/>
      <c r="K201" s="44"/>
      <c r="L201" s="44"/>
      <c r="M201" s="44"/>
      <c r="N201" s="44"/>
      <c r="O201" s="44"/>
      <c r="P201" s="44"/>
      <c r="Q201" s="44"/>
      <c r="R201" s="44"/>
      <c r="S201" s="44"/>
      <c r="T201" s="44"/>
      <c r="U201" s="44"/>
      <c r="V201" s="44"/>
      <c r="W201" s="44"/>
      <c r="X201" s="44"/>
      <c r="Y201" s="44"/>
      <c r="Z201" s="44"/>
      <c r="AA201" s="44"/>
      <c r="AB201" s="44"/>
      <c r="AC201" s="44"/>
    </row>
    <row r="202" spans="1:29" ht="15" customHeight="1" x14ac:dyDescent="0.25">
      <c r="A202" s="1" t="str">
        <f>IF(97&lt;=Inputs!$B$3,97,"")</f>
        <v/>
      </c>
      <c r="B202" s="1" t="str">
        <f t="shared" si="26"/>
        <v/>
      </c>
      <c r="C202" s="44" t="str">
        <f>IF($A202="","",Inputs!$B$4*12*(1+Inputs!$B$10/100)^($A202-1))</f>
        <v/>
      </c>
      <c r="D202" s="44" t="str">
        <f>IF($A202="","",B202*((Inputs!$B$5-2)/100))</f>
        <v/>
      </c>
      <c r="E202" s="64" t="str">
        <f>IF($A202="","",IFERROR(IF(OR(Inputs!$B$8&lt;=0,Inputs!$B$8=""),0,IF(AND($A202&gt;=Inputs!$B$8,MOD($A202,Inputs!$B$8)=0),Inputs!$B$7*(1+Inputs!$B$6/100)^$A202,0)),0))</f>
        <v/>
      </c>
      <c r="F202" s="44" t="str">
        <f t="shared" ref="F202:F205" si="27">IF($A202="","",IFERROR(B202+C202+D202-E202,0))</f>
        <v/>
      </c>
      <c r="G202" s="44">
        <f t="shared" si="25"/>
        <v>0</v>
      </c>
      <c r="H202" s="44"/>
      <c r="I202" s="44"/>
      <c r="J202" s="44"/>
      <c r="K202" s="44"/>
      <c r="L202" s="44"/>
      <c r="M202" s="44"/>
      <c r="N202" s="44"/>
      <c r="O202" s="44"/>
      <c r="P202" s="44"/>
      <c r="Q202" s="44"/>
      <c r="R202" s="44"/>
      <c r="S202" s="44"/>
      <c r="T202" s="44"/>
      <c r="U202" s="44"/>
      <c r="V202" s="44"/>
      <c r="W202" s="44"/>
      <c r="X202" s="44"/>
      <c r="Y202" s="44"/>
      <c r="Z202" s="44"/>
      <c r="AA202" s="44"/>
      <c r="AB202" s="44"/>
      <c r="AC202" s="44"/>
    </row>
    <row r="203" spans="1:29" ht="15" customHeight="1" x14ac:dyDescent="0.25">
      <c r="A203" s="1" t="str">
        <f>IF(98&lt;=Inputs!$B$3,98,"")</f>
        <v/>
      </c>
      <c r="B203" s="1" t="str">
        <f t="shared" si="26"/>
        <v/>
      </c>
      <c r="C203" s="44" t="str">
        <f>IF($A203="","",Inputs!$B$4*12*(1+Inputs!$B$10/100)^($A203-1))</f>
        <v/>
      </c>
      <c r="D203" s="44" t="str">
        <f>IF($A203="","",B203*((Inputs!$B$5-2)/100))</f>
        <v/>
      </c>
      <c r="E203" s="64" t="str">
        <f>IF($A203="","",IFERROR(IF(OR(Inputs!$B$8&lt;=0,Inputs!$B$8=""),0,IF(AND($A203&gt;=Inputs!$B$8,MOD($A203,Inputs!$B$8)=0),Inputs!$B$7*(1+Inputs!$B$6/100)^$A203,0)),0))</f>
        <v/>
      </c>
      <c r="F203" s="44" t="str">
        <f t="shared" si="27"/>
        <v/>
      </c>
      <c r="G203" s="44">
        <f t="shared" si="25"/>
        <v>0</v>
      </c>
      <c r="H203" s="44"/>
      <c r="I203" s="44"/>
      <c r="J203" s="44"/>
      <c r="K203" s="44"/>
      <c r="L203" s="44"/>
      <c r="M203" s="44"/>
      <c r="N203" s="44"/>
      <c r="O203" s="44"/>
      <c r="P203" s="44"/>
      <c r="Q203" s="44"/>
      <c r="R203" s="44"/>
      <c r="S203" s="44"/>
      <c r="T203" s="44"/>
      <c r="U203" s="44"/>
      <c r="V203" s="44"/>
      <c r="W203" s="44"/>
      <c r="X203" s="44"/>
      <c r="Y203" s="44"/>
      <c r="Z203" s="44"/>
      <c r="AA203" s="44"/>
      <c r="AB203" s="44"/>
      <c r="AC203" s="44"/>
    </row>
    <row r="204" spans="1:29" ht="15" customHeight="1" x14ac:dyDescent="0.25">
      <c r="A204" s="1" t="str">
        <f>IF(99&lt;=Inputs!$B$3,99,"")</f>
        <v/>
      </c>
      <c r="B204" s="1" t="str">
        <f t="shared" si="26"/>
        <v/>
      </c>
      <c r="C204" s="44" t="str">
        <f>IF($A204="","",Inputs!$B$4*12*(1+Inputs!$B$10/100)^($A204-1))</f>
        <v/>
      </c>
      <c r="D204" s="44" t="str">
        <f>IF($A204="","",B204*((Inputs!$B$5-2)/100))</f>
        <v/>
      </c>
      <c r="E204" s="64" t="str">
        <f>IF($A204="","",IFERROR(IF(OR(Inputs!$B$8&lt;=0,Inputs!$B$8=""),0,IF(AND($A204&gt;=Inputs!$B$8,MOD($A204,Inputs!$B$8)=0),Inputs!$B$7*(1+Inputs!$B$6/100)^$A204,0)),0))</f>
        <v/>
      </c>
      <c r="F204" s="44" t="str">
        <f t="shared" si="27"/>
        <v/>
      </c>
      <c r="G204" s="44">
        <f t="shared" si="25"/>
        <v>0</v>
      </c>
      <c r="H204" s="44"/>
      <c r="I204" s="44"/>
      <c r="J204" s="44"/>
      <c r="K204" s="44"/>
      <c r="L204" s="44"/>
      <c r="M204" s="44"/>
      <c r="N204" s="44"/>
      <c r="O204" s="44"/>
      <c r="P204" s="44"/>
      <c r="Q204" s="44"/>
      <c r="R204" s="44"/>
      <c r="S204" s="44"/>
      <c r="T204" s="44"/>
      <c r="U204" s="44"/>
      <c r="V204" s="44"/>
      <c r="W204" s="44"/>
      <c r="X204" s="44"/>
      <c r="Y204" s="44"/>
      <c r="Z204" s="44"/>
      <c r="AA204" s="44"/>
      <c r="AB204" s="44"/>
      <c r="AC204" s="44"/>
    </row>
    <row r="205" spans="1:29" ht="15" customHeight="1" x14ac:dyDescent="0.25">
      <c r="A205" s="1" t="str">
        <f>IF(100&lt;=Inputs!$B$3,100,"")</f>
        <v/>
      </c>
      <c r="B205" s="1" t="str">
        <f t="shared" si="26"/>
        <v/>
      </c>
      <c r="C205" s="44" t="str">
        <f>IF($A205="","",Inputs!$B$4*12*(1+Inputs!$B$10/100)^($A205-1))</f>
        <v/>
      </c>
      <c r="D205" s="44" t="str">
        <f>IF($A205="","",B205*((Inputs!$B$5-2)/100))</f>
        <v/>
      </c>
      <c r="E205" s="64" t="str">
        <f>IF($A205="","",IFERROR(IF(OR(Inputs!$B$8&lt;=0,Inputs!$B$8=""),0,IF(AND($A205&gt;=Inputs!$B$8,MOD($A205,Inputs!$B$8)=0),Inputs!$B$7*(1+Inputs!$B$6/100)^$A205,0)),0))</f>
        <v/>
      </c>
      <c r="F205" s="44" t="str">
        <f t="shared" si="27"/>
        <v/>
      </c>
      <c r="G205" s="44">
        <f t="shared" si="25"/>
        <v>0</v>
      </c>
      <c r="H205" s="44"/>
      <c r="I205" s="44"/>
      <c r="J205" s="44"/>
      <c r="K205" s="44"/>
      <c r="L205" s="44"/>
      <c r="M205" s="44"/>
      <c r="N205" s="44"/>
      <c r="O205" s="44"/>
      <c r="P205" s="44"/>
      <c r="Q205" s="44"/>
      <c r="R205" s="44"/>
      <c r="S205" s="44"/>
      <c r="T205" s="44"/>
      <c r="U205" s="44"/>
      <c r="V205" s="44"/>
      <c r="W205" s="44"/>
      <c r="X205" s="44"/>
      <c r="Y205" s="44"/>
      <c r="Z205" s="44"/>
      <c r="AA205" s="44"/>
      <c r="AB205" s="44"/>
      <c r="AC205" s="44"/>
    </row>
    <row r="206" spans="1:29" ht="15" customHeight="1" x14ac:dyDescent="0.25">
      <c r="C206" s="44"/>
      <c r="D206" s="44"/>
      <c r="E206" s="6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row>
    <row r="207" spans="1:29" ht="15" customHeight="1" x14ac:dyDescent="0.25">
      <c r="A207" s="1">
        <f>IF(1&lt;=Inputs!$B$3,1,"")</f>
        <v>1</v>
      </c>
      <c r="B207" s="65">
        <f>IF($A207="","",Inputs!$B$9)</f>
        <v>0</v>
      </c>
      <c r="C207" s="44">
        <f>IF($A207="","",Inputs!$B$4*12*(1+Inputs!$B$10/100)^($A207-1))</f>
        <v>4800</v>
      </c>
      <c r="D207" s="44">
        <f>IF($A207="","",B207*(Inputs!$B$5/100))</f>
        <v>0</v>
      </c>
      <c r="E207" s="64">
        <f>IF($A207="","",IFERROR(IF(OR(Inputs!$B$8&lt;=0,Inputs!$B$8=""),0,IF(AND($A207&gt;=Inputs!$B$8,MOD($A207,Inputs!$B$8)=0),Inputs!$B$7*(1+Inputs!$B$6/100)^$A207,0)),0))</f>
        <v>0</v>
      </c>
      <c r="F207" s="44">
        <f t="shared" ref="F207:F238" si="28">IF($A207="","",IFERROR(B207+C207+D207-E207,0))</f>
        <v>4800</v>
      </c>
      <c r="G207" s="44">
        <f t="shared" ref="G207:G238" si="29">IF($A207="",0,IF(IFERROR(D207,0)&gt;IFERROR(C207,0),1,0))</f>
        <v>0</v>
      </c>
      <c r="H207" s="44"/>
      <c r="I207" s="44"/>
      <c r="J207" s="44"/>
      <c r="K207" s="44"/>
      <c r="L207" s="44"/>
      <c r="M207" s="44"/>
      <c r="N207" s="44"/>
      <c r="O207" s="44"/>
      <c r="P207" s="44"/>
      <c r="Q207" s="44"/>
      <c r="R207" s="44"/>
      <c r="S207" s="44"/>
      <c r="T207" s="44"/>
      <c r="U207" s="44"/>
      <c r="V207" s="44"/>
      <c r="W207" s="44"/>
      <c r="X207" s="44"/>
      <c r="Y207" s="44"/>
      <c r="Z207" s="44"/>
      <c r="AA207" s="44"/>
      <c r="AB207" s="44"/>
      <c r="AC207" s="44"/>
    </row>
    <row r="208" spans="1:29" ht="15" customHeight="1" x14ac:dyDescent="0.25">
      <c r="A208" s="1">
        <f>IF(2&lt;=Inputs!$B$3,2,"")</f>
        <v>2</v>
      </c>
      <c r="B208" s="44">
        <f t="shared" ref="B208:B239" si="30">IF($A208="","",IFERROR(F207,0))</f>
        <v>4800</v>
      </c>
      <c r="C208" s="44">
        <f>IF($A208="","",Inputs!$B$4*12*(1+Inputs!$B$10/100)^($A208-1))</f>
        <v>4800</v>
      </c>
      <c r="D208" s="44">
        <f>IF($A208="","",B208*(Inputs!$B$5/100))</f>
        <v>336.00000000000006</v>
      </c>
      <c r="E208" s="64">
        <f>IF($A208="","",IFERROR(IF(OR(Inputs!$B$8&lt;=0,Inputs!$B$8=""),0,IF(AND($A208&gt;=Inputs!$B$8,MOD($A208,Inputs!$B$8)=0),Inputs!$B$7*(1+Inputs!$B$6/100)^$A208,0)),0))</f>
        <v>0</v>
      </c>
      <c r="F208" s="44">
        <f t="shared" si="28"/>
        <v>9936</v>
      </c>
      <c r="G208" s="44">
        <f t="shared" si="29"/>
        <v>0</v>
      </c>
      <c r="H208" s="44"/>
      <c r="I208" s="44"/>
      <c r="J208" s="44"/>
      <c r="K208" s="44"/>
      <c r="L208" s="44"/>
      <c r="M208" s="44"/>
      <c r="N208" s="44"/>
      <c r="O208" s="44"/>
      <c r="P208" s="44"/>
      <c r="Q208" s="44"/>
      <c r="R208" s="44"/>
      <c r="S208" s="44"/>
      <c r="T208" s="44"/>
      <c r="U208" s="44"/>
      <c r="V208" s="44"/>
      <c r="W208" s="44"/>
      <c r="X208" s="44"/>
      <c r="Y208" s="44"/>
      <c r="Z208" s="44"/>
      <c r="AA208" s="44"/>
      <c r="AB208" s="44"/>
      <c r="AC208" s="44"/>
    </row>
    <row r="209" spans="1:29" ht="15" customHeight="1" x14ac:dyDescent="0.25">
      <c r="A209" s="1">
        <f>IF(3&lt;=Inputs!$B$3,3,"")</f>
        <v>3</v>
      </c>
      <c r="B209" s="44">
        <f t="shared" si="30"/>
        <v>9936</v>
      </c>
      <c r="C209" s="44">
        <f>IF($A209="","",Inputs!$B$4*12*(1+Inputs!$B$10/100)^($A209-1))</f>
        <v>4800</v>
      </c>
      <c r="D209" s="44">
        <f>IF($A209="","",B209*(Inputs!$B$5/100))</f>
        <v>695.5200000000001</v>
      </c>
      <c r="E209" s="64">
        <f>IF($A209="","",IFERROR(IF(OR(Inputs!$B$8&lt;=0,Inputs!$B$8=""),0,IF(AND($A209&gt;=Inputs!$B$8,MOD($A209,Inputs!$B$8)=0),Inputs!$B$7*(1+Inputs!$B$6/100)^$A209,0)),0))</f>
        <v>0</v>
      </c>
      <c r="F209" s="44">
        <f t="shared" si="28"/>
        <v>15431.52</v>
      </c>
      <c r="G209" s="44">
        <f t="shared" si="29"/>
        <v>0</v>
      </c>
      <c r="H209" s="44"/>
      <c r="I209" s="44"/>
      <c r="J209" s="44"/>
      <c r="K209" s="44"/>
      <c r="L209" s="44"/>
      <c r="M209" s="44"/>
      <c r="N209" s="44"/>
      <c r="O209" s="44"/>
      <c r="P209" s="44"/>
      <c r="Q209" s="44"/>
      <c r="R209" s="44"/>
      <c r="S209" s="44"/>
      <c r="T209" s="44"/>
      <c r="U209" s="44"/>
      <c r="V209" s="44"/>
      <c r="W209" s="44"/>
      <c r="X209" s="44"/>
      <c r="Y209" s="44"/>
      <c r="Z209" s="44"/>
      <c r="AA209" s="44"/>
      <c r="AB209" s="44"/>
      <c r="AC209" s="44"/>
    </row>
    <row r="210" spans="1:29" ht="15" customHeight="1" x14ac:dyDescent="0.25">
      <c r="A210" s="1">
        <f>IF(4&lt;=Inputs!$B$3,4,"")</f>
        <v>4</v>
      </c>
      <c r="B210" s="44">
        <f t="shared" si="30"/>
        <v>15431.52</v>
      </c>
      <c r="C210" s="44">
        <f>IF($A210="","",Inputs!$B$4*12*(1+Inputs!$B$10/100)^($A210-1))</f>
        <v>4800</v>
      </c>
      <c r="D210" s="44">
        <f>IF($A210="","",B210*(Inputs!$B$5/100))</f>
        <v>1080.2064</v>
      </c>
      <c r="E210" s="64">
        <f>IF($A210="","",IFERROR(IF(OR(Inputs!$B$8&lt;=0,Inputs!$B$8=""),0,IF(AND($A210&gt;=Inputs!$B$8,MOD($A210,Inputs!$B$8)=0),Inputs!$B$7*(1+Inputs!$B$6/100)^$A210,0)),0))</f>
        <v>0</v>
      </c>
      <c r="F210" s="44">
        <f t="shared" si="28"/>
        <v>21311.7264</v>
      </c>
      <c r="G210" s="44">
        <f t="shared" si="29"/>
        <v>0</v>
      </c>
      <c r="H210" s="44"/>
      <c r="I210" s="44"/>
      <c r="J210" s="44"/>
      <c r="K210" s="44"/>
      <c r="L210" s="44"/>
      <c r="M210" s="44"/>
      <c r="N210" s="44"/>
      <c r="O210" s="44"/>
      <c r="P210" s="44"/>
      <c r="Q210" s="44"/>
      <c r="R210" s="44"/>
      <c r="S210" s="44"/>
      <c r="T210" s="44"/>
      <c r="U210" s="44"/>
      <c r="V210" s="44"/>
      <c r="W210" s="44"/>
      <c r="X210" s="44"/>
      <c r="Y210" s="44"/>
      <c r="Z210" s="44"/>
      <c r="AA210" s="44"/>
      <c r="AB210" s="44"/>
      <c r="AC210" s="44"/>
    </row>
    <row r="211" spans="1:29" ht="15" customHeight="1" x14ac:dyDescent="0.25">
      <c r="A211" s="1">
        <f>IF(5&lt;=Inputs!$B$3,5,"")</f>
        <v>5</v>
      </c>
      <c r="B211" s="44">
        <f t="shared" si="30"/>
        <v>21311.7264</v>
      </c>
      <c r="C211" s="44">
        <f>IF($A211="","",Inputs!$B$4*12*(1+Inputs!$B$10/100)^($A211-1))</f>
        <v>4800</v>
      </c>
      <c r="D211" s="44">
        <f>IF($A211="","",B211*(Inputs!$B$5/100))</f>
        <v>1491.8208480000001</v>
      </c>
      <c r="E211" s="64">
        <f>IF($A211="","",IFERROR(IF(OR(Inputs!$B$8&lt;=0,Inputs!$B$8=""),0,IF(AND($A211&gt;=Inputs!$B$8,MOD($A211,Inputs!$B$8)=0),Inputs!$B$7*(1+Inputs!$B$6/100)^$A211,0)),0))</f>
        <v>0</v>
      </c>
      <c r="F211" s="44">
        <f t="shared" si="28"/>
        <v>27603.547247999999</v>
      </c>
      <c r="G211" s="44">
        <f t="shared" si="29"/>
        <v>0</v>
      </c>
      <c r="H211" s="44"/>
      <c r="I211" s="44"/>
      <c r="J211" s="44"/>
      <c r="K211" s="44"/>
      <c r="L211" s="44"/>
      <c r="M211" s="44"/>
      <c r="N211" s="44"/>
      <c r="O211" s="44"/>
      <c r="P211" s="44"/>
      <c r="Q211" s="44"/>
      <c r="R211" s="44"/>
      <c r="S211" s="44"/>
      <c r="T211" s="44"/>
      <c r="U211" s="44"/>
      <c r="V211" s="44"/>
      <c r="W211" s="44"/>
      <c r="X211" s="44"/>
      <c r="Y211" s="44"/>
      <c r="Z211" s="44"/>
      <c r="AA211" s="44"/>
      <c r="AB211" s="44"/>
      <c r="AC211" s="44"/>
    </row>
    <row r="212" spans="1:29" ht="15" customHeight="1" x14ac:dyDescent="0.25">
      <c r="A212" s="1">
        <f>IF(6&lt;=Inputs!$B$3,6,"")</f>
        <v>6</v>
      </c>
      <c r="B212" s="44">
        <f t="shared" si="30"/>
        <v>27603.547247999999</v>
      </c>
      <c r="C212" s="44">
        <f>IF($A212="","",Inputs!$B$4*12*(1+Inputs!$B$10/100)^($A212-1))</f>
        <v>4800</v>
      </c>
      <c r="D212" s="44">
        <f>IF($A212="","",B212*(Inputs!$B$5/100))</f>
        <v>1932.2483073600001</v>
      </c>
      <c r="E212" s="64">
        <f>IF($A212="","",IFERROR(IF(OR(Inputs!$B$8&lt;=0,Inputs!$B$8=""),0,IF(AND($A212&gt;=Inputs!$B$8,MOD($A212,Inputs!$B$8)=0),Inputs!$B$7*(1+Inputs!$B$6/100)^$A212,0)),0))</f>
        <v>0</v>
      </c>
      <c r="F212" s="44">
        <f t="shared" si="28"/>
        <v>34335.795555359997</v>
      </c>
      <c r="G212" s="44">
        <f t="shared" si="29"/>
        <v>0</v>
      </c>
      <c r="H212" s="44"/>
      <c r="I212" s="44"/>
      <c r="J212" s="44"/>
      <c r="K212" s="44"/>
      <c r="L212" s="44"/>
      <c r="M212" s="44"/>
      <c r="N212" s="44"/>
      <c r="O212" s="44"/>
      <c r="P212" s="44"/>
      <c r="Q212" s="44"/>
      <c r="R212" s="44"/>
      <c r="S212" s="44"/>
      <c r="T212" s="44"/>
      <c r="U212" s="44"/>
      <c r="V212" s="44"/>
      <c r="W212" s="44"/>
      <c r="X212" s="44"/>
      <c r="Y212" s="44"/>
      <c r="Z212" s="44"/>
      <c r="AA212" s="44"/>
      <c r="AB212" s="44"/>
      <c r="AC212" s="44"/>
    </row>
    <row r="213" spans="1:29" ht="15" customHeight="1" x14ac:dyDescent="0.25">
      <c r="A213" s="1">
        <f>IF(7&lt;=Inputs!$B$3,7,"")</f>
        <v>7</v>
      </c>
      <c r="B213" s="44">
        <f t="shared" si="30"/>
        <v>34335.795555359997</v>
      </c>
      <c r="C213" s="44">
        <f>IF($A213="","",Inputs!$B$4*12*(1+Inputs!$B$10/100)^($A213-1))</f>
        <v>4800</v>
      </c>
      <c r="D213" s="44">
        <f>IF($A213="","",B213*(Inputs!$B$5/100))</f>
        <v>2403.5056888752001</v>
      </c>
      <c r="E213" s="64">
        <f>IF($A213="","",IFERROR(IF(OR(Inputs!$B$8&lt;=0,Inputs!$B$8=""),0,IF(AND($A213&gt;=Inputs!$B$8,MOD($A213,Inputs!$B$8)=0),Inputs!$B$7*(1+Inputs!$B$6/100)^$A213,0)),0))</f>
        <v>24597.4773084974</v>
      </c>
      <c r="F213" s="44">
        <f t="shared" si="28"/>
        <v>16941.823935737797</v>
      </c>
      <c r="G213" s="44">
        <f t="shared" si="29"/>
        <v>0</v>
      </c>
      <c r="H213" s="44"/>
      <c r="I213" s="44"/>
      <c r="J213" s="44"/>
      <c r="K213" s="44"/>
      <c r="L213" s="44"/>
      <c r="M213" s="44"/>
      <c r="N213" s="44"/>
      <c r="O213" s="44"/>
      <c r="P213" s="44"/>
      <c r="Q213" s="44"/>
      <c r="R213" s="44"/>
      <c r="S213" s="44"/>
      <c r="T213" s="44"/>
      <c r="U213" s="44"/>
      <c r="V213" s="44"/>
      <c r="W213" s="44"/>
      <c r="X213" s="44"/>
      <c r="Y213" s="44"/>
      <c r="Z213" s="44"/>
      <c r="AA213" s="44"/>
      <c r="AB213" s="44"/>
      <c r="AC213" s="44"/>
    </row>
    <row r="214" spans="1:29" ht="15" customHeight="1" x14ac:dyDescent="0.25">
      <c r="A214" s="1">
        <f>IF(8&lt;=Inputs!$B$3,8,"")</f>
        <v>8</v>
      </c>
      <c r="B214" s="44">
        <f t="shared" si="30"/>
        <v>16941.823935737797</v>
      </c>
      <c r="C214" s="44">
        <f>IF($A214="","",Inputs!$B$4*12*(1+Inputs!$B$10/100)^($A214-1))</f>
        <v>4800</v>
      </c>
      <c r="D214" s="44">
        <f>IF($A214="","",B214*(Inputs!$B$5/100))</f>
        <v>1185.9276755016458</v>
      </c>
      <c r="E214" s="64">
        <f>IF($A214="","",IFERROR(IF(OR(Inputs!$B$8&lt;=0,Inputs!$B$8=""),0,IF(AND($A214&gt;=Inputs!$B$8,MOD($A214,Inputs!$B$8)=0),Inputs!$B$7*(1+Inputs!$B$6/100)^$A214,0)),0))</f>
        <v>0</v>
      </c>
      <c r="F214" s="44">
        <f t="shared" si="28"/>
        <v>22927.751611239444</v>
      </c>
      <c r="G214" s="44">
        <f t="shared" si="29"/>
        <v>0</v>
      </c>
      <c r="H214" s="44"/>
      <c r="I214" s="44"/>
      <c r="J214" s="44"/>
      <c r="K214" s="44"/>
      <c r="L214" s="44"/>
      <c r="M214" s="44"/>
      <c r="N214" s="44"/>
      <c r="O214" s="44"/>
      <c r="P214" s="44"/>
      <c r="Q214" s="44"/>
      <c r="R214" s="44"/>
      <c r="S214" s="44"/>
      <c r="T214" s="44"/>
      <c r="U214" s="44"/>
      <c r="V214" s="44"/>
      <c r="W214" s="44"/>
      <c r="X214" s="44"/>
      <c r="Y214" s="44"/>
      <c r="Z214" s="44"/>
      <c r="AA214" s="44"/>
      <c r="AB214" s="44"/>
      <c r="AC214" s="44"/>
    </row>
    <row r="215" spans="1:29" ht="15" customHeight="1" x14ac:dyDescent="0.25">
      <c r="A215" s="1">
        <f>IF(9&lt;=Inputs!$B$3,9,"")</f>
        <v>9</v>
      </c>
      <c r="B215" s="44">
        <f t="shared" si="30"/>
        <v>22927.751611239444</v>
      </c>
      <c r="C215" s="44">
        <f>IF($A215="","",Inputs!$B$4*12*(1+Inputs!$B$10/100)^($A215-1))</f>
        <v>4800</v>
      </c>
      <c r="D215" s="44">
        <f>IF($A215="","",B215*(Inputs!$B$5/100))</f>
        <v>1604.9426127867612</v>
      </c>
      <c r="E215" s="64">
        <f>IF($A215="","",IFERROR(IF(OR(Inputs!$B$8&lt;=0,Inputs!$B$8=""),0,IF(AND($A215&gt;=Inputs!$B$8,MOD($A215,Inputs!$B$8)=0),Inputs!$B$7*(1+Inputs!$B$6/100)^$A215,0)),0))</f>
        <v>0</v>
      </c>
      <c r="F215" s="44">
        <f t="shared" si="28"/>
        <v>29332.694224026207</v>
      </c>
      <c r="G215" s="44">
        <f t="shared" si="29"/>
        <v>0</v>
      </c>
      <c r="H215" s="44"/>
      <c r="I215" s="44"/>
      <c r="J215" s="44"/>
      <c r="K215" s="44"/>
      <c r="L215" s="44"/>
      <c r="M215" s="44"/>
      <c r="N215" s="44"/>
      <c r="O215" s="44"/>
      <c r="P215" s="44"/>
      <c r="Q215" s="44"/>
      <c r="R215" s="44"/>
      <c r="S215" s="44"/>
      <c r="T215" s="44"/>
      <c r="U215" s="44"/>
      <c r="V215" s="44"/>
      <c r="W215" s="44"/>
      <c r="X215" s="44"/>
      <c r="Y215" s="44"/>
      <c r="Z215" s="44"/>
      <c r="AA215" s="44"/>
      <c r="AB215" s="44"/>
      <c r="AC215" s="44"/>
    </row>
    <row r="216" spans="1:29" ht="15" customHeight="1" x14ac:dyDescent="0.25">
      <c r="A216" s="1">
        <f>IF(10&lt;=Inputs!$B$3,10,"")</f>
        <v>10</v>
      </c>
      <c r="B216" s="44">
        <f t="shared" si="30"/>
        <v>29332.694224026207</v>
      </c>
      <c r="C216" s="44">
        <f>IF($A216="","",Inputs!$B$4*12*(1+Inputs!$B$10/100)^($A216-1))</f>
        <v>4800</v>
      </c>
      <c r="D216" s="44">
        <f>IF($A216="","",B216*(Inputs!$B$5/100))</f>
        <v>2053.2885956818345</v>
      </c>
      <c r="E216" s="64">
        <f>IF($A216="","",IFERROR(IF(OR(Inputs!$B$8&lt;=0,Inputs!$B$8=""),0,IF(AND($A216&gt;=Inputs!$B$8,MOD($A216,Inputs!$B$8)=0),Inputs!$B$7*(1+Inputs!$B$6/100)^$A216,0)),0))</f>
        <v>0</v>
      </c>
      <c r="F216" s="44">
        <f t="shared" si="28"/>
        <v>36185.982819708042</v>
      </c>
      <c r="G216" s="44">
        <f t="shared" si="29"/>
        <v>0</v>
      </c>
      <c r="H216" s="44"/>
      <c r="I216" s="44"/>
      <c r="J216" s="44"/>
      <c r="K216" s="44"/>
      <c r="L216" s="44"/>
      <c r="M216" s="44"/>
      <c r="N216" s="44"/>
      <c r="O216" s="44"/>
      <c r="P216" s="44"/>
      <c r="Q216" s="44"/>
      <c r="R216" s="44"/>
      <c r="S216" s="44"/>
      <c r="T216" s="44"/>
      <c r="U216" s="44"/>
      <c r="V216" s="44"/>
      <c r="W216" s="44"/>
      <c r="X216" s="44"/>
      <c r="Y216" s="44"/>
      <c r="Z216" s="44"/>
      <c r="AA216" s="44"/>
      <c r="AB216" s="44"/>
      <c r="AC216" s="44"/>
    </row>
    <row r="217" spans="1:29" ht="15" customHeight="1" x14ac:dyDescent="0.25">
      <c r="A217" s="1">
        <f>IF(11&lt;=Inputs!$B$3,11,"")</f>
        <v>11</v>
      </c>
      <c r="B217" s="44">
        <f t="shared" si="30"/>
        <v>36185.982819708042</v>
      </c>
      <c r="C217" s="44">
        <f>IF($A217="","",Inputs!$B$4*12*(1+Inputs!$B$10/100)^($A217-1))</f>
        <v>4800</v>
      </c>
      <c r="D217" s="44">
        <f>IF($A217="","",B217*(Inputs!$B$5/100))</f>
        <v>2533.0187973795632</v>
      </c>
      <c r="E217" s="64">
        <f>IF($A217="","",IFERROR(IF(OR(Inputs!$B$8&lt;=0,Inputs!$B$8=""),0,IF(AND($A217&gt;=Inputs!$B$8,MOD($A217,Inputs!$B$8)=0),Inputs!$B$7*(1+Inputs!$B$6/100)^$A217,0)),0))</f>
        <v>0</v>
      </c>
      <c r="F217" s="44">
        <f t="shared" si="28"/>
        <v>43519.001617087604</v>
      </c>
      <c r="G217" s="44">
        <f t="shared" si="29"/>
        <v>0</v>
      </c>
      <c r="H217" s="44"/>
      <c r="I217" s="44"/>
      <c r="J217" s="44"/>
      <c r="K217" s="44"/>
      <c r="L217" s="44"/>
      <c r="M217" s="44"/>
      <c r="N217" s="44"/>
      <c r="O217" s="44"/>
      <c r="P217" s="44"/>
      <c r="Q217" s="44"/>
      <c r="R217" s="44"/>
      <c r="S217" s="44"/>
      <c r="T217" s="44"/>
      <c r="U217" s="44"/>
      <c r="V217" s="44"/>
      <c r="W217" s="44"/>
      <c r="X217" s="44"/>
      <c r="Y217" s="44"/>
      <c r="Z217" s="44"/>
      <c r="AA217" s="44"/>
      <c r="AB217" s="44"/>
      <c r="AC217" s="44"/>
    </row>
    <row r="218" spans="1:29" ht="15" customHeight="1" x14ac:dyDescent="0.25">
      <c r="A218" s="1">
        <f>IF(12&lt;=Inputs!$B$3,12,"")</f>
        <v>12</v>
      </c>
      <c r="B218" s="44">
        <f t="shared" si="30"/>
        <v>43519.001617087604</v>
      </c>
      <c r="C218" s="44">
        <f>IF($A218="","",Inputs!$B$4*12*(1+Inputs!$B$10/100)^($A218-1))</f>
        <v>4800</v>
      </c>
      <c r="D218" s="44">
        <f>IF($A218="","",B218*(Inputs!$B$5/100))</f>
        <v>3046.3301131961325</v>
      </c>
      <c r="E218" s="64">
        <f>IF($A218="","",IFERROR(IF(OR(Inputs!$B$8&lt;=0,Inputs!$B$8=""),0,IF(AND($A218&gt;=Inputs!$B$8,MOD($A218,Inputs!$B$8)=0),Inputs!$B$7*(1+Inputs!$B$6/100)^$A218,0)),0))</f>
        <v>0</v>
      </c>
      <c r="F218" s="44">
        <f t="shared" si="28"/>
        <v>51365.331730283739</v>
      </c>
      <c r="G218" s="44">
        <f t="shared" si="29"/>
        <v>0</v>
      </c>
      <c r="H218" s="44"/>
      <c r="I218" s="44"/>
      <c r="J218" s="44"/>
      <c r="K218" s="44"/>
      <c r="L218" s="44"/>
      <c r="M218" s="44"/>
      <c r="N218" s="44"/>
      <c r="O218" s="44"/>
      <c r="P218" s="44"/>
      <c r="Q218" s="44"/>
      <c r="R218" s="44"/>
      <c r="S218" s="44"/>
      <c r="T218" s="44"/>
      <c r="U218" s="44"/>
      <c r="V218" s="44"/>
      <c r="W218" s="44"/>
      <c r="X218" s="44"/>
      <c r="Y218" s="44"/>
      <c r="Z218" s="44"/>
      <c r="AA218" s="44"/>
      <c r="AB218" s="44"/>
      <c r="AC218" s="44"/>
    </row>
    <row r="219" spans="1:29" ht="15" customHeight="1" x14ac:dyDescent="0.25">
      <c r="A219" s="1">
        <f>IF(13&lt;=Inputs!$B$3,13,"")</f>
        <v>13</v>
      </c>
      <c r="B219" s="44">
        <f t="shared" si="30"/>
        <v>51365.331730283739</v>
      </c>
      <c r="C219" s="44">
        <f>IF($A219="","",Inputs!$B$4*12*(1+Inputs!$B$10/100)^($A219-1))</f>
        <v>4800</v>
      </c>
      <c r="D219" s="44">
        <f>IF($A219="","",B219*(Inputs!$B$5/100))</f>
        <v>3595.573221119862</v>
      </c>
      <c r="E219" s="64">
        <f>IF($A219="","",IFERROR(IF(OR(Inputs!$B$8&lt;=0,Inputs!$B$8=""),0,IF(AND($A219&gt;=Inputs!$B$8,MOD($A219,Inputs!$B$8)=0),Inputs!$B$7*(1+Inputs!$B$6/100)^$A219,0)),0))</f>
        <v>0</v>
      </c>
      <c r="F219" s="44">
        <f t="shared" si="28"/>
        <v>59760.904951403601</v>
      </c>
      <c r="G219" s="44">
        <f t="shared" si="29"/>
        <v>0</v>
      </c>
      <c r="H219" s="44"/>
      <c r="I219" s="44"/>
      <c r="J219" s="44"/>
      <c r="K219" s="44"/>
      <c r="L219" s="44"/>
      <c r="M219" s="44"/>
      <c r="N219" s="44"/>
      <c r="O219" s="44"/>
      <c r="P219" s="44"/>
      <c r="Q219" s="44"/>
      <c r="R219" s="44"/>
      <c r="S219" s="44"/>
      <c r="T219" s="44"/>
      <c r="U219" s="44"/>
      <c r="V219" s="44"/>
      <c r="W219" s="44"/>
      <c r="X219" s="44"/>
      <c r="Y219" s="44"/>
      <c r="Z219" s="44"/>
      <c r="AA219" s="44"/>
      <c r="AB219" s="44"/>
      <c r="AC219" s="44"/>
    </row>
    <row r="220" spans="1:29" ht="15" customHeight="1" x14ac:dyDescent="0.25">
      <c r="A220" s="1">
        <f>IF(14&lt;=Inputs!$B$3,14,"")</f>
        <v>14</v>
      </c>
      <c r="B220" s="44">
        <f t="shared" si="30"/>
        <v>59760.904951403601</v>
      </c>
      <c r="C220" s="44">
        <f>IF($A220="","",Inputs!$B$4*12*(1+Inputs!$B$10/100)^($A220-1))</f>
        <v>4800</v>
      </c>
      <c r="D220" s="44">
        <f>IF($A220="","",B220*(Inputs!$B$5/100))</f>
        <v>4183.2633465982526</v>
      </c>
      <c r="E220" s="64">
        <f>IF($A220="","",IFERROR(IF(OR(Inputs!$B$8&lt;=0,Inputs!$B$8=""),0,IF(AND($A220&gt;=Inputs!$B$8,MOD($A220,Inputs!$B$8)=0),Inputs!$B$7*(1+Inputs!$B$6/100)^$A220,0)),0))</f>
        <v>30251.794497102219</v>
      </c>
      <c r="F220" s="44">
        <f t="shared" si="28"/>
        <v>38492.37380089963</v>
      </c>
      <c r="G220" s="44">
        <f t="shared" si="29"/>
        <v>0</v>
      </c>
      <c r="H220" s="44"/>
      <c r="I220" s="44"/>
      <c r="J220" s="44"/>
      <c r="K220" s="44"/>
      <c r="L220" s="44"/>
      <c r="M220" s="44"/>
      <c r="N220" s="44"/>
      <c r="O220" s="44"/>
      <c r="P220" s="44"/>
      <c r="Q220" s="44"/>
      <c r="R220" s="44"/>
      <c r="S220" s="44"/>
      <c r="T220" s="44"/>
      <c r="U220" s="44"/>
      <c r="V220" s="44"/>
      <c r="W220" s="44"/>
      <c r="X220" s="44"/>
      <c r="Y220" s="44"/>
      <c r="Z220" s="44"/>
      <c r="AA220" s="44"/>
      <c r="AB220" s="44"/>
      <c r="AC220" s="44"/>
    </row>
    <row r="221" spans="1:29" ht="15" customHeight="1" x14ac:dyDescent="0.25">
      <c r="A221" s="1">
        <f>IF(15&lt;=Inputs!$B$3,15,"")</f>
        <v>15</v>
      </c>
      <c r="B221" s="44">
        <f t="shared" si="30"/>
        <v>38492.37380089963</v>
      </c>
      <c r="C221" s="44">
        <f>IF($A221="","",Inputs!$B$4*12*(1+Inputs!$B$10/100)^($A221-1))</f>
        <v>4800</v>
      </c>
      <c r="D221" s="44">
        <f>IF($A221="","",B221*(Inputs!$B$5/100))</f>
        <v>2694.4661660629745</v>
      </c>
      <c r="E221" s="64">
        <f>IF($A221="","",IFERROR(IF(OR(Inputs!$B$8&lt;=0,Inputs!$B$8=""),0,IF(AND($A221&gt;=Inputs!$B$8,MOD($A221,Inputs!$B$8)=0),Inputs!$B$7*(1+Inputs!$B$6/100)^$A221,0)),0))</f>
        <v>0</v>
      </c>
      <c r="F221" s="44">
        <f t="shared" si="28"/>
        <v>45986.839966962601</v>
      </c>
      <c r="G221" s="44">
        <f t="shared" si="29"/>
        <v>0</v>
      </c>
      <c r="H221" s="44"/>
      <c r="I221" s="44"/>
      <c r="J221" s="44"/>
      <c r="K221" s="44"/>
      <c r="L221" s="44"/>
      <c r="M221" s="44"/>
      <c r="N221" s="44"/>
      <c r="O221" s="44"/>
      <c r="P221" s="44"/>
      <c r="Q221" s="44"/>
      <c r="R221" s="44"/>
      <c r="S221" s="44"/>
      <c r="T221" s="44"/>
      <c r="U221" s="44"/>
      <c r="V221" s="44"/>
      <c r="W221" s="44"/>
      <c r="X221" s="44"/>
      <c r="Y221" s="44"/>
      <c r="Z221" s="44"/>
      <c r="AA221" s="44"/>
      <c r="AB221" s="44"/>
      <c r="AC221" s="44"/>
    </row>
    <row r="222" spans="1:29" ht="15" customHeight="1" x14ac:dyDescent="0.25">
      <c r="A222" s="1">
        <f>IF(16&lt;=Inputs!$B$3,16,"")</f>
        <v>16</v>
      </c>
      <c r="B222" s="44">
        <f t="shared" si="30"/>
        <v>45986.839966962601</v>
      </c>
      <c r="C222" s="44">
        <f>IF($A222="","",Inputs!$B$4*12*(1+Inputs!$B$10/100)^($A222-1))</f>
        <v>4800</v>
      </c>
      <c r="D222" s="44">
        <f>IF($A222="","",B222*(Inputs!$B$5/100))</f>
        <v>3219.0787976873826</v>
      </c>
      <c r="E222" s="64">
        <f>IF($A222="","",IFERROR(IF(OR(Inputs!$B$8&lt;=0,Inputs!$B$8=""),0,IF(AND($A222&gt;=Inputs!$B$8,MOD($A222,Inputs!$B$8)=0),Inputs!$B$7*(1+Inputs!$B$6/100)^$A222,0)),0))</f>
        <v>0</v>
      </c>
      <c r="F222" s="44">
        <f t="shared" si="28"/>
        <v>54005.918764649985</v>
      </c>
      <c r="G222" s="44">
        <f t="shared" si="29"/>
        <v>0</v>
      </c>
      <c r="H222" s="44"/>
      <c r="I222" s="44"/>
      <c r="J222" s="44"/>
      <c r="K222" s="44"/>
      <c r="L222" s="44"/>
      <c r="M222" s="44"/>
      <c r="N222" s="44"/>
      <c r="O222" s="44"/>
      <c r="P222" s="44"/>
      <c r="Q222" s="44"/>
      <c r="R222" s="44"/>
      <c r="S222" s="44"/>
      <c r="T222" s="44"/>
      <c r="U222" s="44"/>
      <c r="V222" s="44"/>
      <c r="W222" s="44"/>
      <c r="X222" s="44"/>
      <c r="Y222" s="44"/>
      <c r="Z222" s="44"/>
      <c r="AA222" s="44"/>
      <c r="AB222" s="44"/>
      <c r="AC222" s="44"/>
    </row>
    <row r="223" spans="1:29" ht="15" customHeight="1" x14ac:dyDescent="0.25">
      <c r="A223" s="1">
        <f>IF(17&lt;=Inputs!$B$3,17,"")</f>
        <v>17</v>
      </c>
      <c r="B223" s="44">
        <f t="shared" si="30"/>
        <v>54005.918764649985</v>
      </c>
      <c r="C223" s="44">
        <f>IF($A223="","",Inputs!$B$4*12*(1+Inputs!$B$10/100)^($A223-1))</f>
        <v>4800</v>
      </c>
      <c r="D223" s="44">
        <f>IF($A223="","",B223*(Inputs!$B$5/100))</f>
        <v>3780.4143135254994</v>
      </c>
      <c r="E223" s="64">
        <f>IF($A223="","",IFERROR(IF(OR(Inputs!$B$8&lt;=0,Inputs!$B$8=""),0,IF(AND($A223&gt;=Inputs!$B$8,MOD($A223,Inputs!$B$8)=0),Inputs!$B$7*(1+Inputs!$B$6/100)^$A223,0)),0))</f>
        <v>0</v>
      </c>
      <c r="F223" s="44">
        <f t="shared" si="28"/>
        <v>62586.333078175485</v>
      </c>
      <c r="G223" s="44">
        <f t="shared" si="29"/>
        <v>0</v>
      </c>
      <c r="H223" s="44"/>
      <c r="I223" s="44"/>
      <c r="J223" s="44"/>
      <c r="K223" s="44"/>
      <c r="L223" s="44"/>
      <c r="M223" s="44"/>
      <c r="N223" s="44"/>
      <c r="O223" s="44"/>
      <c r="P223" s="44"/>
      <c r="Q223" s="44"/>
      <c r="R223" s="44"/>
      <c r="S223" s="44"/>
      <c r="T223" s="44"/>
      <c r="U223" s="44"/>
      <c r="V223" s="44"/>
      <c r="W223" s="44"/>
      <c r="X223" s="44"/>
      <c r="Y223" s="44"/>
      <c r="Z223" s="44"/>
      <c r="AA223" s="44"/>
      <c r="AB223" s="44"/>
      <c r="AC223" s="44"/>
    </row>
    <row r="224" spans="1:29" ht="15" customHeight="1" x14ac:dyDescent="0.25">
      <c r="A224" s="1">
        <f>IF(18&lt;=Inputs!$B$3,18,"")</f>
        <v>18</v>
      </c>
      <c r="B224" s="44">
        <f t="shared" si="30"/>
        <v>62586.333078175485</v>
      </c>
      <c r="C224" s="44">
        <f>IF($A224="","",Inputs!$B$4*12*(1+Inputs!$B$10/100)^($A224-1))</f>
        <v>4800</v>
      </c>
      <c r="D224" s="44">
        <f>IF($A224="","",B224*(Inputs!$B$5/100))</f>
        <v>4381.0433154722841</v>
      </c>
      <c r="E224" s="64">
        <f>IF($A224="","",IFERROR(IF(OR(Inputs!$B$8&lt;=0,Inputs!$B$8=""),0,IF(AND($A224&gt;=Inputs!$B$8,MOD($A224,Inputs!$B$8)=0),Inputs!$B$7*(1+Inputs!$B$6/100)^$A224,0)),0))</f>
        <v>0</v>
      </c>
      <c r="F224" s="44">
        <f t="shared" si="28"/>
        <v>71767.376393647777</v>
      </c>
      <c r="G224" s="44">
        <f t="shared" si="29"/>
        <v>0</v>
      </c>
      <c r="H224" s="44"/>
      <c r="I224" s="44"/>
      <c r="J224" s="44"/>
      <c r="K224" s="44"/>
      <c r="L224" s="44"/>
      <c r="M224" s="44"/>
      <c r="N224" s="44"/>
      <c r="O224" s="44"/>
      <c r="P224" s="44"/>
      <c r="Q224" s="44"/>
      <c r="R224" s="44"/>
      <c r="S224" s="44"/>
      <c r="T224" s="44"/>
      <c r="U224" s="44"/>
      <c r="V224" s="44"/>
      <c r="W224" s="44"/>
      <c r="X224" s="44"/>
      <c r="Y224" s="44"/>
      <c r="Z224" s="44"/>
      <c r="AA224" s="44"/>
      <c r="AB224" s="44"/>
      <c r="AC224" s="44"/>
    </row>
    <row r="225" spans="1:29" ht="15" customHeight="1" x14ac:dyDescent="0.25">
      <c r="A225" s="1">
        <f>IF(19&lt;=Inputs!$B$3,19,"")</f>
        <v>19</v>
      </c>
      <c r="B225" s="44">
        <f t="shared" si="30"/>
        <v>71767.376393647777</v>
      </c>
      <c r="C225" s="44">
        <f>IF($A225="","",Inputs!$B$4*12*(1+Inputs!$B$10/100)^($A225-1))</f>
        <v>4800</v>
      </c>
      <c r="D225" s="44">
        <f>IF($A225="","",B225*(Inputs!$B$5/100))</f>
        <v>5023.7163475553452</v>
      </c>
      <c r="E225" s="64">
        <f>IF($A225="","",IFERROR(IF(OR(Inputs!$B$8&lt;=0,Inputs!$B$8=""),0,IF(AND($A225&gt;=Inputs!$B$8,MOD($A225,Inputs!$B$8)=0),Inputs!$B$7*(1+Inputs!$B$6/100)^$A225,0)),0))</f>
        <v>0</v>
      </c>
      <c r="F225" s="44">
        <f t="shared" si="28"/>
        <v>81591.092741203116</v>
      </c>
      <c r="G225" s="44">
        <f t="shared" si="29"/>
        <v>1</v>
      </c>
      <c r="H225" s="44"/>
      <c r="I225" s="44"/>
      <c r="J225" s="44"/>
      <c r="K225" s="44"/>
      <c r="L225" s="44"/>
      <c r="M225" s="44"/>
      <c r="N225" s="44"/>
      <c r="O225" s="44"/>
      <c r="P225" s="44"/>
      <c r="Q225" s="44"/>
      <c r="R225" s="44"/>
      <c r="S225" s="44"/>
      <c r="T225" s="44"/>
      <c r="U225" s="44"/>
      <c r="V225" s="44"/>
      <c r="W225" s="44"/>
      <c r="X225" s="44"/>
      <c r="Y225" s="44"/>
      <c r="Z225" s="44"/>
      <c r="AA225" s="44"/>
      <c r="AB225" s="44"/>
      <c r="AC225" s="44"/>
    </row>
    <row r="226" spans="1:29" ht="15" customHeight="1" x14ac:dyDescent="0.25">
      <c r="A226" s="1">
        <f>IF(20&lt;=Inputs!$B$3,20,"")</f>
        <v>20</v>
      </c>
      <c r="B226" s="44">
        <f t="shared" si="30"/>
        <v>81591.092741203116</v>
      </c>
      <c r="C226" s="44">
        <f>IF($A226="","",Inputs!$B$4*12*(1+Inputs!$B$10/100)^($A226-1))</f>
        <v>4800</v>
      </c>
      <c r="D226" s="44">
        <f>IF($A226="","",B226*(Inputs!$B$5/100))</f>
        <v>5711.3764918842189</v>
      </c>
      <c r="E226" s="64">
        <f>IF($A226="","",IFERROR(IF(OR(Inputs!$B$8&lt;=0,Inputs!$B$8=""),0,IF(AND($A226&gt;=Inputs!$B$8,MOD($A226,Inputs!$B$8)=0),Inputs!$B$7*(1+Inputs!$B$6/100)^$A226,0)),0))</f>
        <v>0</v>
      </c>
      <c r="F226" s="44">
        <f t="shared" si="28"/>
        <v>92102.469233087337</v>
      </c>
      <c r="G226" s="44">
        <f t="shared" si="29"/>
        <v>1</v>
      </c>
      <c r="H226" s="44"/>
      <c r="I226" s="44"/>
      <c r="J226" s="44"/>
      <c r="K226" s="44"/>
      <c r="L226" s="44"/>
      <c r="M226" s="44"/>
      <c r="N226" s="44"/>
      <c r="O226" s="44"/>
      <c r="P226" s="44"/>
      <c r="Q226" s="44"/>
      <c r="R226" s="44"/>
      <c r="S226" s="44"/>
      <c r="T226" s="44"/>
      <c r="U226" s="44"/>
      <c r="V226" s="44"/>
      <c r="W226" s="44"/>
      <c r="X226" s="44"/>
      <c r="Y226" s="44"/>
      <c r="Z226" s="44"/>
      <c r="AA226" s="44"/>
      <c r="AB226" s="44"/>
      <c r="AC226" s="44"/>
    </row>
    <row r="227" spans="1:29" ht="15" customHeight="1" x14ac:dyDescent="0.25">
      <c r="A227" s="1">
        <f>IF(21&lt;=Inputs!$B$3,21,"")</f>
        <v>21</v>
      </c>
      <c r="B227" s="44">
        <f t="shared" si="30"/>
        <v>92102.469233087337</v>
      </c>
      <c r="C227" s="44">
        <f>IF($A227="","",Inputs!$B$4*12*(1+Inputs!$B$10/100)^($A227-1))</f>
        <v>4800</v>
      </c>
      <c r="D227" s="44">
        <f>IF($A227="","",B227*(Inputs!$B$5/100))</f>
        <v>6447.1728463161144</v>
      </c>
      <c r="E227" s="64">
        <f>IF($A227="","",IFERROR(IF(OR(Inputs!$B$8&lt;=0,Inputs!$B$8=""),0,IF(AND($A227&gt;=Inputs!$B$8,MOD($A227,Inputs!$B$8)=0),Inputs!$B$7*(1+Inputs!$B$6/100)^$A227,0)),0))</f>
        <v>37205.891434189907</v>
      </c>
      <c r="F227" s="44">
        <f t="shared" si="28"/>
        <v>66143.750645213542</v>
      </c>
      <c r="G227" s="44">
        <f t="shared" si="29"/>
        <v>1</v>
      </c>
      <c r="H227" s="44"/>
      <c r="I227" s="44"/>
      <c r="J227" s="44"/>
      <c r="K227" s="44"/>
      <c r="L227" s="44"/>
      <c r="M227" s="44"/>
      <c r="N227" s="44"/>
      <c r="O227" s="44"/>
      <c r="P227" s="44"/>
      <c r="Q227" s="44"/>
      <c r="R227" s="44"/>
      <c r="S227" s="44"/>
      <c r="T227" s="44"/>
      <c r="U227" s="44"/>
      <c r="V227" s="44"/>
      <c r="W227" s="44"/>
      <c r="X227" s="44"/>
      <c r="Y227" s="44"/>
      <c r="Z227" s="44"/>
      <c r="AA227" s="44"/>
      <c r="AB227" s="44"/>
      <c r="AC227" s="44"/>
    </row>
    <row r="228" spans="1:29" ht="15" customHeight="1" x14ac:dyDescent="0.25">
      <c r="A228" s="1">
        <f>IF(22&lt;=Inputs!$B$3,22,"")</f>
        <v>22</v>
      </c>
      <c r="B228" s="44">
        <f t="shared" si="30"/>
        <v>66143.750645213542</v>
      </c>
      <c r="C228" s="44">
        <f>IF($A228="","",Inputs!$B$4*12*(1+Inputs!$B$10/100)^($A228-1))</f>
        <v>4800</v>
      </c>
      <c r="D228" s="44">
        <f>IF($A228="","",B228*(Inputs!$B$5/100))</f>
        <v>4630.0625451649485</v>
      </c>
      <c r="E228" s="64">
        <f>IF($A228="","",IFERROR(IF(OR(Inputs!$B$8&lt;=0,Inputs!$B$8=""),0,IF(AND($A228&gt;=Inputs!$B$8,MOD($A228,Inputs!$B$8)=0),Inputs!$B$7*(1+Inputs!$B$6/100)^$A228,0)),0))</f>
        <v>0</v>
      </c>
      <c r="F228" s="44">
        <f t="shared" si="28"/>
        <v>75573.813190378496</v>
      </c>
      <c r="G228" s="44">
        <f t="shared" si="29"/>
        <v>0</v>
      </c>
      <c r="H228" s="44"/>
      <c r="I228" s="44"/>
      <c r="J228" s="44"/>
      <c r="K228" s="44"/>
      <c r="L228" s="44"/>
      <c r="M228" s="44"/>
      <c r="N228" s="44"/>
      <c r="O228" s="44"/>
      <c r="P228" s="44"/>
      <c r="Q228" s="44"/>
      <c r="R228" s="44"/>
      <c r="S228" s="44"/>
      <c r="T228" s="44"/>
      <c r="U228" s="44"/>
      <c r="V228" s="44"/>
      <c r="W228" s="44"/>
      <c r="X228" s="44"/>
      <c r="Y228" s="44"/>
      <c r="Z228" s="44"/>
      <c r="AA228" s="44"/>
      <c r="AB228" s="44"/>
      <c r="AC228" s="44"/>
    </row>
    <row r="229" spans="1:29" ht="15" customHeight="1" x14ac:dyDescent="0.25">
      <c r="A229" s="1">
        <f>IF(23&lt;=Inputs!$B$3,23,"")</f>
        <v>23</v>
      </c>
      <c r="B229" s="44">
        <f t="shared" si="30"/>
        <v>75573.813190378496</v>
      </c>
      <c r="C229" s="44">
        <f>IF($A229="","",Inputs!$B$4*12*(1+Inputs!$B$10/100)^($A229-1))</f>
        <v>4800</v>
      </c>
      <c r="D229" s="44">
        <f>IF($A229="","",B229*(Inputs!$B$5/100))</f>
        <v>5290.1669233264956</v>
      </c>
      <c r="E229" s="64">
        <f>IF($A229="","",IFERROR(IF(OR(Inputs!$B$8&lt;=0,Inputs!$B$8=""),0,IF(AND($A229&gt;=Inputs!$B$8,MOD($A229,Inputs!$B$8)=0),Inputs!$B$7*(1+Inputs!$B$6/100)^$A229,0)),0))</f>
        <v>0</v>
      </c>
      <c r="F229" s="44">
        <f t="shared" si="28"/>
        <v>85663.980113704994</v>
      </c>
      <c r="G229" s="44">
        <f t="shared" si="29"/>
        <v>1</v>
      </c>
      <c r="H229" s="44"/>
      <c r="I229" s="44"/>
      <c r="J229" s="44"/>
      <c r="K229" s="44"/>
      <c r="L229" s="44"/>
      <c r="M229" s="44"/>
      <c r="N229" s="44"/>
      <c r="O229" s="44"/>
      <c r="P229" s="44"/>
      <c r="Q229" s="44"/>
      <c r="R229" s="44"/>
      <c r="S229" s="44"/>
      <c r="T229" s="44"/>
      <c r="U229" s="44"/>
      <c r="V229" s="44"/>
      <c r="W229" s="44"/>
      <c r="X229" s="44"/>
      <c r="Y229" s="44"/>
      <c r="Z229" s="44"/>
      <c r="AA229" s="44"/>
      <c r="AB229" s="44"/>
      <c r="AC229" s="44"/>
    </row>
    <row r="230" spans="1:29" ht="15" customHeight="1" x14ac:dyDescent="0.25">
      <c r="A230" s="1">
        <f>IF(24&lt;=Inputs!$B$3,24,"")</f>
        <v>24</v>
      </c>
      <c r="B230" s="44">
        <f t="shared" si="30"/>
        <v>85663.980113704994</v>
      </c>
      <c r="C230" s="44">
        <f>IF($A230="","",Inputs!$B$4*12*(1+Inputs!$B$10/100)^($A230-1))</f>
        <v>4800</v>
      </c>
      <c r="D230" s="44">
        <f>IF($A230="","",B230*(Inputs!$B$5/100))</f>
        <v>5996.4786079593505</v>
      </c>
      <c r="E230" s="64">
        <f>IF($A230="","",IFERROR(IF(OR(Inputs!$B$8&lt;=0,Inputs!$B$8=""),0,IF(AND($A230&gt;=Inputs!$B$8,MOD($A230,Inputs!$B$8)=0),Inputs!$B$7*(1+Inputs!$B$6/100)^$A230,0)),0))</f>
        <v>0</v>
      </c>
      <c r="F230" s="44">
        <f t="shared" si="28"/>
        <v>96460.458721664341</v>
      </c>
      <c r="G230" s="44">
        <f t="shared" si="29"/>
        <v>1</v>
      </c>
      <c r="H230" s="44"/>
      <c r="I230" s="44"/>
      <c r="J230" s="44"/>
      <c r="K230" s="44"/>
      <c r="L230" s="44"/>
      <c r="M230" s="44"/>
      <c r="N230" s="44"/>
      <c r="O230" s="44"/>
      <c r="P230" s="44"/>
      <c r="Q230" s="44"/>
      <c r="R230" s="44"/>
      <c r="S230" s="44"/>
      <c r="T230" s="44"/>
      <c r="U230" s="44"/>
      <c r="V230" s="44"/>
      <c r="W230" s="44"/>
      <c r="X230" s="44"/>
      <c r="Y230" s="44"/>
      <c r="Z230" s="44"/>
      <c r="AA230" s="44"/>
      <c r="AB230" s="44"/>
      <c r="AC230" s="44"/>
    </row>
    <row r="231" spans="1:29" ht="15" customHeight="1" x14ac:dyDescent="0.25">
      <c r="A231" s="1">
        <f>IF(25&lt;=Inputs!$B$3,25,"")</f>
        <v>25</v>
      </c>
      <c r="B231" s="44">
        <f t="shared" si="30"/>
        <v>96460.458721664341</v>
      </c>
      <c r="C231" s="44">
        <f>IF($A231="","",Inputs!$B$4*12*(1+Inputs!$B$10/100)^($A231-1))</f>
        <v>4800</v>
      </c>
      <c r="D231" s="44">
        <f>IF($A231="","",B231*(Inputs!$B$5/100))</f>
        <v>6752.2321105165047</v>
      </c>
      <c r="E231" s="64">
        <f>IF($A231="","",IFERROR(IF(OR(Inputs!$B$8&lt;=0,Inputs!$B$8=""),0,IF(AND($A231&gt;=Inputs!$B$8,MOD($A231,Inputs!$B$8)=0),Inputs!$B$7*(1+Inputs!$B$6/100)^$A231,0)),0))</f>
        <v>0</v>
      </c>
      <c r="F231" s="44">
        <f t="shared" si="28"/>
        <v>108012.69083218084</v>
      </c>
      <c r="G231" s="44">
        <f t="shared" si="29"/>
        <v>1</v>
      </c>
      <c r="H231" s="44"/>
      <c r="I231" s="44"/>
      <c r="J231" s="44"/>
      <c r="K231" s="44"/>
      <c r="L231" s="44"/>
      <c r="M231" s="44"/>
      <c r="N231" s="44"/>
      <c r="O231" s="44"/>
      <c r="P231" s="44"/>
      <c r="Q231" s="44"/>
      <c r="R231" s="44"/>
      <c r="S231" s="44"/>
      <c r="T231" s="44"/>
      <c r="U231" s="44"/>
      <c r="V231" s="44"/>
      <c r="W231" s="44"/>
      <c r="X231" s="44"/>
      <c r="Y231" s="44"/>
      <c r="Z231" s="44"/>
      <c r="AA231" s="44"/>
      <c r="AB231" s="44"/>
      <c r="AC231" s="44"/>
    </row>
    <row r="232" spans="1:29" ht="15" customHeight="1" x14ac:dyDescent="0.25">
      <c r="A232" s="1">
        <f>IF(26&lt;=Inputs!$B$3,26,"")</f>
        <v>26</v>
      </c>
      <c r="B232" s="44">
        <f t="shared" si="30"/>
        <v>108012.69083218084</v>
      </c>
      <c r="C232" s="44">
        <f>IF($A232="","",Inputs!$B$4*12*(1+Inputs!$B$10/100)^($A232-1))</f>
        <v>4800</v>
      </c>
      <c r="D232" s="44">
        <f>IF($A232="","",B232*(Inputs!$B$5/100))</f>
        <v>7560.8883582526596</v>
      </c>
      <c r="E232" s="64">
        <f>IF($A232="","",IFERROR(IF(OR(Inputs!$B$8&lt;=0,Inputs!$B$8=""),0,IF(AND($A232&gt;=Inputs!$B$8,MOD($A232,Inputs!$B$8)=0),Inputs!$B$7*(1+Inputs!$B$6/100)^$A232,0)),0))</f>
        <v>0</v>
      </c>
      <c r="F232" s="44">
        <f t="shared" si="28"/>
        <v>120373.57919043351</v>
      </c>
      <c r="G232" s="44">
        <f t="shared" si="29"/>
        <v>1</v>
      </c>
      <c r="H232" s="44"/>
      <c r="I232" s="44"/>
      <c r="J232" s="44"/>
      <c r="K232" s="44"/>
      <c r="L232" s="44"/>
      <c r="M232" s="44"/>
      <c r="N232" s="44"/>
      <c r="O232" s="44"/>
      <c r="P232" s="44"/>
      <c r="Q232" s="44"/>
      <c r="R232" s="44"/>
      <c r="S232" s="44"/>
      <c r="T232" s="44"/>
      <c r="U232" s="44"/>
      <c r="V232" s="44"/>
      <c r="W232" s="44"/>
      <c r="X232" s="44"/>
      <c r="Y232" s="44"/>
      <c r="Z232" s="44"/>
      <c r="AA232" s="44"/>
      <c r="AB232" s="44"/>
      <c r="AC232" s="44"/>
    </row>
    <row r="233" spans="1:29" ht="15" customHeight="1" x14ac:dyDescent="0.25">
      <c r="A233" s="1">
        <f>IF(27&lt;=Inputs!$B$3,27,"")</f>
        <v>27</v>
      </c>
      <c r="B233" s="44">
        <f t="shared" si="30"/>
        <v>120373.57919043351</v>
      </c>
      <c r="C233" s="44">
        <f>IF($A233="","",Inputs!$B$4*12*(1+Inputs!$B$10/100)^($A233-1))</f>
        <v>4800</v>
      </c>
      <c r="D233" s="44">
        <f>IF($A233="","",B233*(Inputs!$B$5/100))</f>
        <v>8426.1505433303464</v>
      </c>
      <c r="E233" s="64">
        <f>IF($A233="","",IFERROR(IF(OR(Inputs!$B$8&lt;=0,Inputs!$B$8=""),0,IF(AND($A233&gt;=Inputs!$B$8,MOD($A233,Inputs!$B$8)=0),Inputs!$B$7*(1+Inputs!$B$6/100)^$A233,0)),0))</f>
        <v>0</v>
      </c>
      <c r="F233" s="44">
        <f t="shared" si="28"/>
        <v>133599.72973376384</v>
      </c>
      <c r="G233" s="44">
        <f t="shared" si="29"/>
        <v>1</v>
      </c>
      <c r="H233" s="44"/>
      <c r="I233" s="44"/>
      <c r="J233" s="44"/>
      <c r="K233" s="44"/>
      <c r="L233" s="44"/>
      <c r="M233" s="44"/>
      <c r="N233" s="44"/>
      <c r="O233" s="44"/>
      <c r="P233" s="44"/>
      <c r="Q233" s="44"/>
      <c r="R233" s="44"/>
      <c r="S233" s="44"/>
      <c r="T233" s="44"/>
      <c r="U233" s="44"/>
      <c r="V233" s="44"/>
      <c r="W233" s="44"/>
      <c r="X233" s="44"/>
      <c r="Y233" s="44"/>
      <c r="Z233" s="44"/>
      <c r="AA233" s="44"/>
      <c r="AB233" s="44"/>
      <c r="AC233" s="44"/>
    </row>
    <row r="234" spans="1:29" ht="15" customHeight="1" x14ac:dyDescent="0.25">
      <c r="A234" s="1">
        <f>IF(28&lt;=Inputs!$B$3,28,"")</f>
        <v>28</v>
      </c>
      <c r="B234" s="44">
        <f t="shared" si="30"/>
        <v>133599.72973376384</v>
      </c>
      <c r="C234" s="44">
        <f>IF($A234="","",Inputs!$B$4*12*(1+Inputs!$B$10/100)^($A234-1))</f>
        <v>4800</v>
      </c>
      <c r="D234" s="44">
        <f>IF($A234="","",B234*(Inputs!$B$5/100))</f>
        <v>9351.9810813634704</v>
      </c>
      <c r="E234" s="64">
        <f>IF($A234="","",IFERROR(IF(OR(Inputs!$B$8&lt;=0,Inputs!$B$8=""),0,IF(AND($A234&gt;=Inputs!$B$8,MOD($A234,Inputs!$B$8)=0),Inputs!$B$7*(1+Inputs!$B$6/100)^$A234,0)),0))</f>
        <v>45758.553514745203</v>
      </c>
      <c r="F234" s="44">
        <f t="shared" si="28"/>
        <v>101993.15730038212</v>
      </c>
      <c r="G234" s="44">
        <f t="shared" si="29"/>
        <v>1</v>
      </c>
      <c r="H234" s="44"/>
      <c r="I234" s="44"/>
      <c r="J234" s="44"/>
      <c r="K234" s="44"/>
      <c r="L234" s="44"/>
      <c r="M234" s="44"/>
      <c r="N234" s="44"/>
      <c r="O234" s="44"/>
      <c r="P234" s="44"/>
      <c r="Q234" s="44"/>
      <c r="R234" s="44"/>
      <c r="S234" s="44"/>
      <c r="T234" s="44"/>
      <c r="U234" s="44"/>
      <c r="V234" s="44"/>
      <c r="W234" s="44"/>
      <c r="X234" s="44"/>
      <c r="Y234" s="44"/>
      <c r="Z234" s="44"/>
      <c r="AA234" s="44"/>
      <c r="AB234" s="44"/>
      <c r="AC234" s="44"/>
    </row>
    <row r="235" spans="1:29" ht="15" customHeight="1" x14ac:dyDescent="0.25">
      <c r="A235" s="1">
        <f>IF(29&lt;=Inputs!$B$3,29,"")</f>
        <v>29</v>
      </c>
      <c r="B235" s="44">
        <f t="shared" si="30"/>
        <v>101993.15730038212</v>
      </c>
      <c r="C235" s="44">
        <f>IF($A235="","",Inputs!$B$4*12*(1+Inputs!$B$10/100)^($A235-1))</f>
        <v>4800</v>
      </c>
      <c r="D235" s="44">
        <f>IF($A235="","",B235*(Inputs!$B$5/100))</f>
        <v>7139.5210110267499</v>
      </c>
      <c r="E235" s="64">
        <f>IF($A235="","",IFERROR(IF(OR(Inputs!$B$8&lt;=0,Inputs!$B$8=""),0,IF(AND($A235&gt;=Inputs!$B$8,MOD($A235,Inputs!$B$8)=0),Inputs!$B$7*(1+Inputs!$B$6/100)^$A235,0)),0))</f>
        <v>0</v>
      </c>
      <c r="F235" s="44">
        <f t="shared" si="28"/>
        <v>113932.67831140888</v>
      </c>
      <c r="G235" s="44">
        <f t="shared" si="29"/>
        <v>1</v>
      </c>
      <c r="H235" s="44"/>
      <c r="I235" s="44"/>
      <c r="J235" s="44"/>
      <c r="K235" s="44"/>
      <c r="L235" s="44"/>
      <c r="M235" s="44"/>
      <c r="N235" s="44"/>
      <c r="O235" s="44"/>
      <c r="P235" s="44"/>
      <c r="Q235" s="44"/>
      <c r="R235" s="44"/>
      <c r="S235" s="44"/>
      <c r="T235" s="44"/>
      <c r="U235" s="44"/>
      <c r="V235" s="44"/>
      <c r="W235" s="44"/>
      <c r="X235" s="44"/>
      <c r="Y235" s="44"/>
      <c r="Z235" s="44"/>
      <c r="AA235" s="44"/>
      <c r="AB235" s="44"/>
      <c r="AC235" s="44"/>
    </row>
    <row r="236" spans="1:29" ht="15" customHeight="1" x14ac:dyDescent="0.25">
      <c r="A236" s="1">
        <f>IF(30&lt;=Inputs!$B$3,30,"")</f>
        <v>30</v>
      </c>
      <c r="B236" s="44">
        <f t="shared" si="30"/>
        <v>113932.67831140888</v>
      </c>
      <c r="C236" s="44">
        <f>IF($A236="","",Inputs!$B$4*12*(1+Inputs!$B$10/100)^($A236-1))</f>
        <v>4800</v>
      </c>
      <c r="D236" s="44">
        <f>IF($A236="","",B236*(Inputs!$B$5/100))</f>
        <v>7975.2874817986221</v>
      </c>
      <c r="E236" s="64">
        <f>IF($A236="","",IFERROR(IF(OR(Inputs!$B$8&lt;=0,Inputs!$B$8=""),0,IF(AND($A236&gt;=Inputs!$B$8,MOD($A236,Inputs!$B$8)=0),Inputs!$B$7*(1+Inputs!$B$6/100)^$A236,0)),0))</f>
        <v>0</v>
      </c>
      <c r="F236" s="44">
        <f t="shared" si="28"/>
        <v>126707.96579320749</v>
      </c>
      <c r="G236" s="44">
        <f t="shared" si="29"/>
        <v>1</v>
      </c>
      <c r="H236" s="44"/>
      <c r="I236" s="44"/>
      <c r="J236" s="44"/>
      <c r="K236" s="44"/>
      <c r="L236" s="44"/>
      <c r="M236" s="44"/>
      <c r="N236" s="44"/>
      <c r="O236" s="44"/>
      <c r="P236" s="44"/>
      <c r="Q236" s="44"/>
      <c r="R236" s="44"/>
      <c r="S236" s="44"/>
      <c r="T236" s="44"/>
      <c r="U236" s="44"/>
      <c r="V236" s="44"/>
      <c r="W236" s="44"/>
      <c r="X236" s="44"/>
      <c r="Y236" s="44"/>
      <c r="Z236" s="44"/>
      <c r="AA236" s="44"/>
      <c r="AB236" s="44"/>
      <c r="AC236" s="44"/>
    </row>
    <row r="237" spans="1:29" ht="15" customHeight="1" x14ac:dyDescent="0.25">
      <c r="A237" s="1">
        <f>IF(31&lt;=Inputs!$B$3,31,"")</f>
        <v>31</v>
      </c>
      <c r="B237" s="44">
        <f t="shared" si="30"/>
        <v>126707.96579320749</v>
      </c>
      <c r="C237" s="44">
        <f>IF($A237="","",Inputs!$B$4*12*(1+Inputs!$B$10/100)^($A237-1))</f>
        <v>4800</v>
      </c>
      <c r="D237" s="44">
        <f>IF($A237="","",B237*(Inputs!$B$5/100))</f>
        <v>8869.5576055245256</v>
      </c>
      <c r="E237" s="64">
        <f>IF($A237="","",IFERROR(IF(OR(Inputs!$B$8&lt;=0,Inputs!$B$8=""),0,IF(AND($A237&gt;=Inputs!$B$8,MOD($A237,Inputs!$B$8)=0),Inputs!$B$7*(1+Inputs!$B$6/100)^$A237,0)),0))</f>
        <v>0</v>
      </c>
      <c r="F237" s="44">
        <f t="shared" si="28"/>
        <v>140377.52339873201</v>
      </c>
      <c r="G237" s="44">
        <f t="shared" si="29"/>
        <v>1</v>
      </c>
      <c r="H237" s="44"/>
      <c r="I237" s="44"/>
      <c r="J237" s="44"/>
      <c r="K237" s="44"/>
      <c r="L237" s="44"/>
      <c r="M237" s="44"/>
      <c r="N237" s="44"/>
      <c r="O237" s="44"/>
      <c r="P237" s="44"/>
      <c r="Q237" s="44"/>
      <c r="R237" s="44"/>
      <c r="S237" s="44"/>
      <c r="T237" s="44"/>
      <c r="U237" s="44"/>
      <c r="V237" s="44"/>
      <c r="W237" s="44"/>
      <c r="X237" s="44"/>
      <c r="Y237" s="44"/>
      <c r="Z237" s="44"/>
      <c r="AA237" s="44"/>
      <c r="AB237" s="44"/>
      <c r="AC237" s="44"/>
    </row>
    <row r="238" spans="1:29" ht="15" customHeight="1" x14ac:dyDescent="0.25">
      <c r="A238" s="1">
        <f>IF(32&lt;=Inputs!$B$3,32,"")</f>
        <v>32</v>
      </c>
      <c r="B238" s="44">
        <f t="shared" si="30"/>
        <v>140377.52339873201</v>
      </c>
      <c r="C238" s="44">
        <f>IF($A238="","",Inputs!$B$4*12*(1+Inputs!$B$10/100)^($A238-1))</f>
        <v>4800</v>
      </c>
      <c r="D238" s="44">
        <f>IF($A238="","",B238*(Inputs!$B$5/100))</f>
        <v>9826.4266379112414</v>
      </c>
      <c r="E238" s="64">
        <f>IF($A238="","",IFERROR(IF(OR(Inputs!$B$8&lt;=0,Inputs!$B$8=""),0,IF(AND($A238&gt;=Inputs!$B$8,MOD($A238,Inputs!$B$8)=0),Inputs!$B$7*(1+Inputs!$B$6/100)^$A238,0)),0))</f>
        <v>0</v>
      </c>
      <c r="F238" s="44">
        <f t="shared" si="28"/>
        <v>155003.95003664325</v>
      </c>
      <c r="G238" s="44">
        <f t="shared" si="29"/>
        <v>1</v>
      </c>
      <c r="H238" s="44"/>
      <c r="I238" s="44"/>
      <c r="J238" s="44"/>
      <c r="K238" s="44"/>
      <c r="L238" s="44"/>
      <c r="M238" s="44"/>
      <c r="N238" s="44"/>
      <c r="O238" s="44"/>
      <c r="P238" s="44"/>
      <c r="Q238" s="44"/>
      <c r="R238" s="44"/>
      <c r="S238" s="44"/>
      <c r="T238" s="44"/>
      <c r="U238" s="44"/>
      <c r="V238" s="44"/>
      <c r="W238" s="44"/>
      <c r="X238" s="44"/>
      <c r="Y238" s="44"/>
      <c r="Z238" s="44"/>
      <c r="AA238" s="44"/>
      <c r="AB238" s="44"/>
      <c r="AC238" s="44"/>
    </row>
    <row r="239" spans="1:29" ht="15" customHeight="1" x14ac:dyDescent="0.25">
      <c r="A239" s="1">
        <f>IF(33&lt;=Inputs!$B$3,33,"")</f>
        <v>33</v>
      </c>
      <c r="B239" s="44">
        <f t="shared" si="30"/>
        <v>155003.95003664325</v>
      </c>
      <c r="C239" s="44">
        <f>IF($A239="","",Inputs!$B$4*12*(1+Inputs!$B$10/100)^($A239-1))</f>
        <v>4800</v>
      </c>
      <c r="D239" s="44">
        <f>IF($A239="","",B239*(Inputs!$B$5/100))</f>
        <v>10850.276502565028</v>
      </c>
      <c r="E239" s="64">
        <f>IF($A239="","",IFERROR(IF(OR(Inputs!$B$8&lt;=0,Inputs!$B$8=""),0,IF(AND($A239&gt;=Inputs!$B$8,MOD($A239,Inputs!$B$8)=0),Inputs!$B$7*(1+Inputs!$B$6/100)^$A239,0)),0))</f>
        <v>0</v>
      </c>
      <c r="F239" s="44">
        <f t="shared" ref="F239:F270" si="31">IF($A239="","",IFERROR(B239+C239+D239-E239,0))</f>
        <v>170654.22653920826</v>
      </c>
      <c r="G239" s="44">
        <f t="shared" ref="G239:G270" si="32">IF($A239="",0,IF(IFERROR(D239,0)&gt;IFERROR(C239,0),1,0))</f>
        <v>1</v>
      </c>
      <c r="H239" s="44"/>
      <c r="I239" s="44"/>
      <c r="J239" s="44"/>
      <c r="K239" s="44"/>
      <c r="L239" s="44"/>
      <c r="M239" s="44"/>
      <c r="N239" s="44"/>
      <c r="O239" s="44"/>
      <c r="P239" s="44"/>
      <c r="Q239" s="44"/>
      <c r="R239" s="44"/>
      <c r="S239" s="44"/>
      <c r="T239" s="44"/>
      <c r="U239" s="44"/>
      <c r="V239" s="44"/>
      <c r="W239" s="44"/>
      <c r="X239" s="44"/>
      <c r="Y239" s="44"/>
      <c r="Z239" s="44"/>
      <c r="AA239" s="44"/>
      <c r="AB239" s="44"/>
      <c r="AC239" s="44"/>
    </row>
    <row r="240" spans="1:29" ht="15" customHeight="1" x14ac:dyDescent="0.25">
      <c r="A240" s="1">
        <f>IF(34&lt;=Inputs!$B$3,34,"")</f>
        <v>34</v>
      </c>
      <c r="B240" s="44">
        <f t="shared" ref="B240:B271" si="33">IF($A240="","",IFERROR(F239,0))</f>
        <v>170654.22653920826</v>
      </c>
      <c r="C240" s="44">
        <f>IF($A240="","",Inputs!$B$4*12*(1+Inputs!$B$10/100)^($A240-1))</f>
        <v>4800</v>
      </c>
      <c r="D240" s="44">
        <f>IF($A240="","",B240*(Inputs!$B$5/100))</f>
        <v>11945.795857744579</v>
      </c>
      <c r="E240" s="64">
        <f>IF($A240="","",IFERROR(IF(OR(Inputs!$B$8&lt;=0,Inputs!$B$8=""),0,IF(AND($A240&gt;=Inputs!$B$8,MOD($A240,Inputs!$B$8)=0),Inputs!$B$7*(1+Inputs!$B$6/100)^$A240,0)),0))</f>
        <v>0</v>
      </c>
      <c r="F240" s="44">
        <f t="shared" si="31"/>
        <v>187400.02239695285</v>
      </c>
      <c r="G240" s="44">
        <f t="shared" si="32"/>
        <v>1</v>
      </c>
      <c r="H240" s="44"/>
      <c r="I240" s="44"/>
      <c r="J240" s="44"/>
      <c r="K240" s="44"/>
      <c r="L240" s="44"/>
      <c r="M240" s="44"/>
      <c r="N240" s="44"/>
      <c r="O240" s="44"/>
      <c r="P240" s="44"/>
      <c r="Q240" s="44"/>
      <c r="R240" s="44"/>
      <c r="S240" s="44"/>
      <c r="T240" s="44"/>
      <c r="U240" s="44"/>
      <c r="V240" s="44"/>
      <c r="W240" s="44"/>
      <c r="X240" s="44"/>
      <c r="Y240" s="44"/>
      <c r="Z240" s="44"/>
      <c r="AA240" s="44"/>
      <c r="AB240" s="44"/>
      <c r="AC240" s="44"/>
    </row>
    <row r="241" spans="1:29" ht="15" customHeight="1" x14ac:dyDescent="0.25">
      <c r="A241" s="1">
        <f>IF(35&lt;=Inputs!$B$3,35,"")</f>
        <v>35</v>
      </c>
      <c r="B241" s="44">
        <f t="shared" si="33"/>
        <v>187400.02239695285</v>
      </c>
      <c r="C241" s="44">
        <f>IF($A241="","",Inputs!$B$4*12*(1+Inputs!$B$10/100)^($A241-1))</f>
        <v>4800</v>
      </c>
      <c r="D241" s="44">
        <f>IF($A241="","",B241*(Inputs!$B$5/100))</f>
        <v>13118.0015677867</v>
      </c>
      <c r="E241" s="64">
        <f>IF($A241="","",IFERROR(IF(OR(Inputs!$B$8&lt;=0,Inputs!$B$8=""),0,IF(AND($A241&gt;=Inputs!$B$8,MOD($A241,Inputs!$B$8)=0),Inputs!$B$7*(1+Inputs!$B$6/100)^$A241,0)),0))</f>
        <v>56277.249087430449</v>
      </c>
      <c r="F241" s="44">
        <f t="shared" si="31"/>
        <v>149040.7748773091</v>
      </c>
      <c r="G241" s="44">
        <f t="shared" si="32"/>
        <v>1</v>
      </c>
      <c r="H241" s="44"/>
      <c r="I241" s="44"/>
      <c r="J241" s="44"/>
      <c r="K241" s="44"/>
      <c r="L241" s="44"/>
      <c r="M241" s="44"/>
      <c r="N241" s="44"/>
      <c r="O241" s="44"/>
      <c r="P241" s="44"/>
      <c r="Q241" s="44"/>
      <c r="R241" s="44"/>
      <c r="S241" s="44"/>
      <c r="T241" s="44"/>
      <c r="U241" s="44"/>
      <c r="V241" s="44"/>
      <c r="W241" s="44"/>
      <c r="X241" s="44"/>
      <c r="Y241" s="44"/>
      <c r="Z241" s="44"/>
      <c r="AA241" s="44"/>
      <c r="AB241" s="44"/>
      <c r="AC241" s="44"/>
    </row>
    <row r="242" spans="1:29" ht="15" customHeight="1" x14ac:dyDescent="0.25">
      <c r="A242" s="1">
        <f>IF(36&lt;=Inputs!$B$3,36,"")</f>
        <v>36</v>
      </c>
      <c r="B242" s="44">
        <f t="shared" si="33"/>
        <v>149040.7748773091</v>
      </c>
      <c r="C242" s="44">
        <f>IF($A242="","",Inputs!$B$4*12*(1+Inputs!$B$10/100)^($A242-1))</f>
        <v>4800</v>
      </c>
      <c r="D242" s="44">
        <f>IF($A242="","",B242*(Inputs!$B$5/100))</f>
        <v>10432.854241411638</v>
      </c>
      <c r="E242" s="64">
        <f>IF($A242="","",IFERROR(IF(OR(Inputs!$B$8&lt;=0,Inputs!$B$8=""),0,IF(AND($A242&gt;=Inputs!$B$8,MOD($A242,Inputs!$B$8)=0),Inputs!$B$7*(1+Inputs!$B$6/100)^$A242,0)),0))</f>
        <v>0</v>
      </c>
      <c r="F242" s="44">
        <f t="shared" si="31"/>
        <v>164273.62911872074</v>
      </c>
      <c r="G242" s="44">
        <f t="shared" si="32"/>
        <v>1</v>
      </c>
      <c r="H242" s="44"/>
      <c r="I242" s="44"/>
      <c r="J242" s="44"/>
      <c r="K242" s="44"/>
      <c r="L242" s="44"/>
      <c r="M242" s="44"/>
      <c r="N242" s="44"/>
      <c r="O242" s="44"/>
      <c r="P242" s="44"/>
      <c r="Q242" s="44"/>
      <c r="R242" s="44"/>
      <c r="S242" s="44"/>
      <c r="T242" s="44"/>
      <c r="U242" s="44"/>
      <c r="V242" s="44"/>
      <c r="W242" s="44"/>
      <c r="X242" s="44"/>
      <c r="Y242" s="44"/>
      <c r="Z242" s="44"/>
      <c r="AA242" s="44"/>
      <c r="AB242" s="44"/>
      <c r="AC242" s="44"/>
    </row>
    <row r="243" spans="1:29" ht="15" customHeight="1" x14ac:dyDescent="0.25">
      <c r="A243" s="1">
        <f>IF(37&lt;=Inputs!$B$3,37,"")</f>
        <v>37</v>
      </c>
      <c r="B243" s="44">
        <f t="shared" si="33"/>
        <v>164273.62911872074</v>
      </c>
      <c r="C243" s="44">
        <f>IF($A243="","",Inputs!$B$4*12*(1+Inputs!$B$10/100)^($A243-1))</f>
        <v>4800</v>
      </c>
      <c r="D243" s="44">
        <f>IF($A243="","",B243*(Inputs!$B$5/100))</f>
        <v>11499.154038310453</v>
      </c>
      <c r="E243" s="64">
        <f>IF($A243="","",IFERROR(IF(OR(Inputs!$B$8&lt;=0,Inputs!$B$8=""),0,IF(AND($A243&gt;=Inputs!$B$8,MOD($A243,Inputs!$B$8)=0),Inputs!$B$7*(1+Inputs!$B$6/100)^$A243,0)),0))</f>
        <v>0</v>
      </c>
      <c r="F243" s="44">
        <f t="shared" si="31"/>
        <v>180572.7831570312</v>
      </c>
      <c r="G243" s="44">
        <f t="shared" si="32"/>
        <v>1</v>
      </c>
      <c r="H243" s="44"/>
      <c r="I243" s="44"/>
      <c r="J243" s="44"/>
      <c r="K243" s="44"/>
      <c r="L243" s="44"/>
      <c r="M243" s="44"/>
      <c r="N243" s="44"/>
      <c r="O243" s="44"/>
      <c r="P243" s="44"/>
      <c r="Q243" s="44"/>
      <c r="R243" s="44"/>
      <c r="S243" s="44"/>
      <c r="T243" s="44"/>
      <c r="U243" s="44"/>
      <c r="V243" s="44"/>
      <c r="W243" s="44"/>
      <c r="X243" s="44"/>
      <c r="Y243" s="44"/>
      <c r="Z243" s="44"/>
      <c r="AA243" s="44"/>
      <c r="AB243" s="44"/>
      <c r="AC243" s="44"/>
    </row>
    <row r="244" spans="1:29" ht="15" customHeight="1" x14ac:dyDescent="0.25">
      <c r="A244" s="1" t="str">
        <f>IF(38&lt;=Inputs!$B$3,38,"")</f>
        <v/>
      </c>
      <c r="B244" s="1" t="str">
        <f t="shared" si="33"/>
        <v/>
      </c>
      <c r="C244" s="44" t="str">
        <f>IF($A244="","",Inputs!$B$4*12*(1+Inputs!$B$10/100)^($A244-1))</f>
        <v/>
      </c>
      <c r="D244" s="44" t="str">
        <f>IF($A244="","",B244*(Inputs!$B$5/100))</f>
        <v/>
      </c>
      <c r="E244" s="64" t="str">
        <f>IF($A244="","",IFERROR(IF(OR(Inputs!$B$8&lt;=0,Inputs!$B$8=""),0,IF(AND($A244&gt;=Inputs!$B$8,MOD($A244,Inputs!$B$8)=0),Inputs!$B$7*(1+Inputs!$B$6/100)^$A244,0)),0))</f>
        <v/>
      </c>
      <c r="F244" s="44" t="str">
        <f t="shared" si="31"/>
        <v/>
      </c>
      <c r="G244" s="44">
        <f t="shared" si="32"/>
        <v>0</v>
      </c>
      <c r="H244" s="44"/>
      <c r="I244" s="44"/>
      <c r="J244" s="44"/>
      <c r="K244" s="44"/>
      <c r="L244" s="44"/>
      <c r="M244" s="44"/>
      <c r="N244" s="44"/>
      <c r="O244" s="44"/>
      <c r="P244" s="44"/>
      <c r="Q244" s="44"/>
      <c r="R244" s="44"/>
      <c r="S244" s="44"/>
      <c r="T244" s="44"/>
      <c r="U244" s="44"/>
      <c r="V244" s="44"/>
      <c r="W244" s="44"/>
      <c r="X244" s="44"/>
      <c r="Y244" s="44"/>
      <c r="Z244" s="44"/>
      <c r="AA244" s="44"/>
      <c r="AB244" s="44"/>
      <c r="AC244" s="44"/>
    </row>
    <row r="245" spans="1:29" ht="15" customHeight="1" x14ac:dyDescent="0.25">
      <c r="A245" s="1" t="str">
        <f>IF(39&lt;=Inputs!$B$3,39,"")</f>
        <v/>
      </c>
      <c r="B245" s="1" t="str">
        <f t="shared" si="33"/>
        <v/>
      </c>
      <c r="C245" s="44" t="str">
        <f>IF($A245="","",Inputs!$B$4*12*(1+Inputs!$B$10/100)^($A245-1))</f>
        <v/>
      </c>
      <c r="D245" s="44" t="str">
        <f>IF($A245="","",B245*(Inputs!$B$5/100))</f>
        <v/>
      </c>
      <c r="E245" s="64" t="str">
        <f>IF($A245="","",IFERROR(IF(OR(Inputs!$B$8&lt;=0,Inputs!$B$8=""),0,IF(AND($A245&gt;=Inputs!$B$8,MOD($A245,Inputs!$B$8)=0),Inputs!$B$7*(1+Inputs!$B$6/100)^$A245,0)),0))</f>
        <v/>
      </c>
      <c r="F245" s="44" t="str">
        <f t="shared" si="31"/>
        <v/>
      </c>
      <c r="G245" s="44">
        <f t="shared" si="32"/>
        <v>0</v>
      </c>
      <c r="H245" s="44"/>
      <c r="I245" s="44"/>
      <c r="J245" s="44"/>
      <c r="K245" s="44"/>
      <c r="L245" s="44"/>
      <c r="M245" s="44"/>
      <c r="N245" s="44"/>
      <c r="O245" s="44"/>
      <c r="P245" s="44"/>
      <c r="Q245" s="44"/>
      <c r="R245" s="44"/>
      <c r="S245" s="44"/>
      <c r="T245" s="44"/>
      <c r="U245" s="44"/>
      <c r="V245" s="44"/>
      <c r="W245" s="44"/>
      <c r="X245" s="44"/>
      <c r="Y245" s="44"/>
      <c r="Z245" s="44"/>
      <c r="AA245" s="44"/>
      <c r="AB245" s="44"/>
      <c r="AC245" s="44"/>
    </row>
    <row r="246" spans="1:29" ht="15" customHeight="1" x14ac:dyDescent="0.25">
      <c r="A246" s="1" t="str">
        <f>IF(40&lt;=Inputs!$B$3,40,"")</f>
        <v/>
      </c>
      <c r="B246" s="1" t="str">
        <f t="shared" si="33"/>
        <v/>
      </c>
      <c r="C246" s="44" t="str">
        <f>IF($A246="","",Inputs!$B$4*12*(1+Inputs!$B$10/100)^($A246-1))</f>
        <v/>
      </c>
      <c r="D246" s="44" t="str">
        <f>IF($A246="","",B246*(Inputs!$B$5/100))</f>
        <v/>
      </c>
      <c r="E246" s="64" t="str">
        <f>IF($A246="","",IFERROR(IF(OR(Inputs!$B$8&lt;=0,Inputs!$B$8=""),0,IF(AND($A246&gt;=Inputs!$B$8,MOD($A246,Inputs!$B$8)=0),Inputs!$B$7*(1+Inputs!$B$6/100)^$A246,0)),0))</f>
        <v/>
      </c>
      <c r="F246" s="44" t="str">
        <f t="shared" si="31"/>
        <v/>
      </c>
      <c r="G246" s="44">
        <f t="shared" si="32"/>
        <v>0</v>
      </c>
      <c r="H246" s="44"/>
      <c r="I246" s="44"/>
      <c r="J246" s="44"/>
      <c r="K246" s="44"/>
      <c r="L246" s="44"/>
      <c r="M246" s="44"/>
      <c r="N246" s="44"/>
      <c r="O246" s="44"/>
      <c r="P246" s="44"/>
      <c r="Q246" s="44"/>
      <c r="R246" s="44"/>
      <c r="S246" s="44"/>
      <c r="T246" s="44"/>
      <c r="U246" s="44"/>
      <c r="V246" s="44"/>
      <c r="W246" s="44"/>
      <c r="X246" s="44"/>
      <c r="Y246" s="44"/>
      <c r="Z246" s="44"/>
      <c r="AA246" s="44"/>
      <c r="AB246" s="44"/>
      <c r="AC246" s="44"/>
    </row>
    <row r="247" spans="1:29" ht="15" customHeight="1" x14ac:dyDescent="0.25">
      <c r="A247" s="1" t="str">
        <f>IF(41&lt;=Inputs!$B$3,41,"")</f>
        <v/>
      </c>
      <c r="B247" s="1" t="str">
        <f t="shared" si="33"/>
        <v/>
      </c>
      <c r="C247" s="44" t="str">
        <f>IF($A247="","",Inputs!$B$4*12*(1+Inputs!$B$10/100)^($A247-1))</f>
        <v/>
      </c>
      <c r="D247" s="44" t="str">
        <f>IF($A247="","",B247*(Inputs!$B$5/100))</f>
        <v/>
      </c>
      <c r="E247" s="64" t="str">
        <f>IF($A247="","",IFERROR(IF(OR(Inputs!$B$8&lt;=0,Inputs!$B$8=""),0,IF(AND($A247&gt;=Inputs!$B$8,MOD($A247,Inputs!$B$8)=0),Inputs!$B$7*(1+Inputs!$B$6/100)^$A247,0)),0))</f>
        <v/>
      </c>
      <c r="F247" s="44" t="str">
        <f t="shared" si="31"/>
        <v/>
      </c>
      <c r="G247" s="44">
        <f t="shared" si="32"/>
        <v>0</v>
      </c>
      <c r="H247" s="44"/>
      <c r="I247" s="44"/>
      <c r="J247" s="44"/>
      <c r="K247" s="44"/>
      <c r="L247" s="44"/>
      <c r="M247" s="44"/>
      <c r="N247" s="44"/>
      <c r="O247" s="44"/>
      <c r="P247" s="44"/>
      <c r="Q247" s="44"/>
      <c r="R247" s="44"/>
      <c r="S247" s="44"/>
      <c r="T247" s="44"/>
      <c r="U247" s="44"/>
      <c r="V247" s="44"/>
      <c r="W247" s="44"/>
      <c r="X247" s="44"/>
      <c r="Y247" s="44"/>
      <c r="Z247" s="44"/>
      <c r="AA247" s="44"/>
      <c r="AB247" s="44"/>
      <c r="AC247" s="44"/>
    </row>
    <row r="248" spans="1:29" ht="15" customHeight="1" x14ac:dyDescent="0.25">
      <c r="A248" s="1" t="str">
        <f>IF(42&lt;=Inputs!$B$3,42,"")</f>
        <v/>
      </c>
      <c r="B248" s="1" t="str">
        <f t="shared" si="33"/>
        <v/>
      </c>
      <c r="C248" s="44" t="str">
        <f>IF($A248="","",Inputs!$B$4*12*(1+Inputs!$B$10/100)^($A248-1))</f>
        <v/>
      </c>
      <c r="D248" s="44" t="str">
        <f>IF($A248="","",B248*(Inputs!$B$5/100))</f>
        <v/>
      </c>
      <c r="E248" s="64" t="str">
        <f>IF($A248="","",IFERROR(IF(OR(Inputs!$B$8&lt;=0,Inputs!$B$8=""),0,IF(AND($A248&gt;=Inputs!$B$8,MOD($A248,Inputs!$B$8)=0),Inputs!$B$7*(1+Inputs!$B$6/100)^$A248,0)),0))</f>
        <v/>
      </c>
      <c r="F248" s="44" t="str">
        <f t="shared" si="31"/>
        <v/>
      </c>
      <c r="G248" s="44">
        <f t="shared" si="32"/>
        <v>0</v>
      </c>
      <c r="H248" s="44"/>
      <c r="I248" s="44"/>
      <c r="J248" s="44"/>
      <c r="K248" s="44"/>
      <c r="L248" s="44"/>
      <c r="M248" s="44"/>
      <c r="N248" s="44"/>
      <c r="O248" s="44"/>
      <c r="P248" s="44"/>
      <c r="Q248" s="44"/>
      <c r="R248" s="44"/>
      <c r="S248" s="44"/>
      <c r="T248" s="44"/>
      <c r="U248" s="44"/>
      <c r="V248" s="44"/>
      <c r="W248" s="44"/>
      <c r="X248" s="44"/>
      <c r="Y248" s="44"/>
      <c r="Z248" s="44"/>
      <c r="AA248" s="44"/>
      <c r="AB248" s="44"/>
      <c r="AC248" s="44"/>
    </row>
    <row r="249" spans="1:29" ht="15" customHeight="1" x14ac:dyDescent="0.25">
      <c r="A249" s="1" t="str">
        <f>IF(43&lt;=Inputs!$B$3,43,"")</f>
        <v/>
      </c>
      <c r="B249" s="1" t="str">
        <f t="shared" si="33"/>
        <v/>
      </c>
      <c r="C249" s="44" t="str">
        <f>IF($A249="","",Inputs!$B$4*12*(1+Inputs!$B$10/100)^($A249-1))</f>
        <v/>
      </c>
      <c r="D249" s="44" t="str">
        <f>IF($A249="","",B249*(Inputs!$B$5/100))</f>
        <v/>
      </c>
      <c r="E249" s="64" t="str">
        <f>IF($A249="","",IFERROR(IF(OR(Inputs!$B$8&lt;=0,Inputs!$B$8=""),0,IF(AND($A249&gt;=Inputs!$B$8,MOD($A249,Inputs!$B$8)=0),Inputs!$B$7*(1+Inputs!$B$6/100)^$A249,0)),0))</f>
        <v/>
      </c>
      <c r="F249" s="44" t="str">
        <f t="shared" si="31"/>
        <v/>
      </c>
      <c r="G249" s="44">
        <f t="shared" si="32"/>
        <v>0</v>
      </c>
      <c r="H249" s="44"/>
      <c r="I249" s="44"/>
      <c r="J249" s="44"/>
      <c r="K249" s="44"/>
      <c r="L249" s="44"/>
      <c r="M249" s="44"/>
      <c r="N249" s="44"/>
      <c r="O249" s="44"/>
      <c r="P249" s="44"/>
      <c r="Q249" s="44"/>
      <c r="R249" s="44"/>
      <c r="S249" s="44"/>
      <c r="T249" s="44"/>
      <c r="U249" s="44"/>
      <c r="V249" s="44"/>
      <c r="W249" s="44"/>
      <c r="X249" s="44"/>
      <c r="Y249" s="44"/>
      <c r="Z249" s="44"/>
      <c r="AA249" s="44"/>
      <c r="AB249" s="44"/>
      <c r="AC249" s="44"/>
    </row>
    <row r="250" spans="1:29" ht="15" customHeight="1" x14ac:dyDescent="0.25">
      <c r="A250" s="1" t="str">
        <f>IF(44&lt;=Inputs!$B$3,44,"")</f>
        <v/>
      </c>
      <c r="B250" s="1" t="str">
        <f t="shared" si="33"/>
        <v/>
      </c>
      <c r="C250" s="44" t="str">
        <f>IF($A250="","",Inputs!$B$4*12*(1+Inputs!$B$10/100)^($A250-1))</f>
        <v/>
      </c>
      <c r="D250" s="44" t="str">
        <f>IF($A250="","",B250*(Inputs!$B$5/100))</f>
        <v/>
      </c>
      <c r="E250" s="64" t="str">
        <f>IF($A250="","",IFERROR(IF(OR(Inputs!$B$8&lt;=0,Inputs!$B$8=""),0,IF(AND($A250&gt;=Inputs!$B$8,MOD($A250,Inputs!$B$8)=0),Inputs!$B$7*(1+Inputs!$B$6/100)^$A250,0)),0))</f>
        <v/>
      </c>
      <c r="F250" s="44" t="str">
        <f t="shared" si="31"/>
        <v/>
      </c>
      <c r="G250" s="44">
        <f t="shared" si="32"/>
        <v>0</v>
      </c>
      <c r="H250" s="44"/>
      <c r="I250" s="44"/>
      <c r="J250" s="44"/>
      <c r="K250" s="44"/>
      <c r="L250" s="44"/>
      <c r="M250" s="44"/>
      <c r="N250" s="44"/>
      <c r="O250" s="44"/>
      <c r="P250" s="44"/>
      <c r="Q250" s="44"/>
      <c r="R250" s="44"/>
      <c r="S250" s="44"/>
      <c r="T250" s="44"/>
      <c r="U250" s="44"/>
      <c r="V250" s="44"/>
      <c r="W250" s="44"/>
      <c r="X250" s="44"/>
      <c r="Y250" s="44"/>
      <c r="Z250" s="44"/>
      <c r="AA250" s="44"/>
      <c r="AB250" s="44"/>
      <c r="AC250" s="44"/>
    </row>
    <row r="251" spans="1:29" ht="15" customHeight="1" x14ac:dyDescent="0.25">
      <c r="A251" s="1" t="str">
        <f>IF(45&lt;=Inputs!$B$3,45,"")</f>
        <v/>
      </c>
      <c r="B251" s="1" t="str">
        <f t="shared" si="33"/>
        <v/>
      </c>
      <c r="C251" s="44" t="str">
        <f>IF($A251="","",Inputs!$B$4*12*(1+Inputs!$B$10/100)^($A251-1))</f>
        <v/>
      </c>
      <c r="D251" s="44" t="str">
        <f>IF($A251="","",B251*(Inputs!$B$5/100))</f>
        <v/>
      </c>
      <c r="E251" s="64" t="str">
        <f>IF($A251="","",IFERROR(IF(OR(Inputs!$B$8&lt;=0,Inputs!$B$8=""),0,IF(AND($A251&gt;=Inputs!$B$8,MOD($A251,Inputs!$B$8)=0),Inputs!$B$7*(1+Inputs!$B$6/100)^$A251,0)),0))</f>
        <v/>
      </c>
      <c r="F251" s="44" t="str">
        <f t="shared" si="31"/>
        <v/>
      </c>
      <c r="G251" s="44">
        <f t="shared" si="32"/>
        <v>0</v>
      </c>
      <c r="H251" s="44"/>
      <c r="I251" s="44"/>
      <c r="J251" s="44"/>
      <c r="K251" s="44"/>
      <c r="L251" s="44"/>
      <c r="M251" s="44"/>
      <c r="N251" s="44"/>
      <c r="O251" s="44"/>
      <c r="P251" s="44"/>
      <c r="Q251" s="44"/>
      <c r="R251" s="44"/>
      <c r="S251" s="44"/>
      <c r="T251" s="44"/>
      <c r="U251" s="44"/>
      <c r="V251" s="44"/>
      <c r="W251" s="44"/>
      <c r="X251" s="44"/>
      <c r="Y251" s="44"/>
      <c r="Z251" s="44"/>
      <c r="AA251" s="44"/>
      <c r="AB251" s="44"/>
      <c r="AC251" s="44"/>
    </row>
    <row r="252" spans="1:29" ht="15" customHeight="1" x14ac:dyDescent="0.25">
      <c r="A252" s="1" t="str">
        <f>IF(46&lt;=Inputs!$B$3,46,"")</f>
        <v/>
      </c>
      <c r="B252" s="1" t="str">
        <f t="shared" si="33"/>
        <v/>
      </c>
      <c r="C252" s="44" t="str">
        <f>IF($A252="","",Inputs!$B$4*12*(1+Inputs!$B$10/100)^($A252-1))</f>
        <v/>
      </c>
      <c r="D252" s="44" t="str">
        <f>IF($A252="","",B252*(Inputs!$B$5/100))</f>
        <v/>
      </c>
      <c r="E252" s="64" t="str">
        <f>IF($A252="","",IFERROR(IF(OR(Inputs!$B$8&lt;=0,Inputs!$B$8=""),0,IF(AND($A252&gt;=Inputs!$B$8,MOD($A252,Inputs!$B$8)=0),Inputs!$B$7*(1+Inputs!$B$6/100)^$A252,0)),0))</f>
        <v/>
      </c>
      <c r="F252" s="44" t="str">
        <f t="shared" si="31"/>
        <v/>
      </c>
      <c r="G252" s="44">
        <f t="shared" si="32"/>
        <v>0</v>
      </c>
      <c r="H252" s="44"/>
      <c r="I252" s="44"/>
      <c r="J252" s="44"/>
      <c r="K252" s="44"/>
      <c r="L252" s="44"/>
      <c r="M252" s="44"/>
      <c r="N252" s="44"/>
      <c r="O252" s="44"/>
      <c r="P252" s="44"/>
      <c r="Q252" s="44"/>
      <c r="R252" s="44"/>
      <c r="S252" s="44"/>
      <c r="T252" s="44"/>
      <c r="U252" s="44"/>
      <c r="V252" s="44"/>
      <c r="W252" s="44"/>
      <c r="X252" s="44"/>
      <c r="Y252" s="44"/>
      <c r="Z252" s="44"/>
      <c r="AA252" s="44"/>
      <c r="AB252" s="44"/>
      <c r="AC252" s="44"/>
    </row>
    <row r="253" spans="1:29" ht="15" customHeight="1" x14ac:dyDescent="0.25">
      <c r="A253" s="1" t="str">
        <f>IF(47&lt;=Inputs!$B$3,47,"")</f>
        <v/>
      </c>
      <c r="B253" s="1" t="str">
        <f t="shared" si="33"/>
        <v/>
      </c>
      <c r="C253" s="44" t="str">
        <f>IF($A253="","",Inputs!$B$4*12*(1+Inputs!$B$10/100)^($A253-1))</f>
        <v/>
      </c>
      <c r="D253" s="44" t="str">
        <f>IF($A253="","",B253*(Inputs!$B$5/100))</f>
        <v/>
      </c>
      <c r="E253" s="64" t="str">
        <f>IF($A253="","",IFERROR(IF(OR(Inputs!$B$8&lt;=0,Inputs!$B$8=""),0,IF(AND($A253&gt;=Inputs!$B$8,MOD($A253,Inputs!$B$8)=0),Inputs!$B$7*(1+Inputs!$B$6/100)^$A253,0)),0))</f>
        <v/>
      </c>
      <c r="F253" s="44" t="str">
        <f t="shared" si="31"/>
        <v/>
      </c>
      <c r="G253" s="44">
        <f t="shared" si="32"/>
        <v>0</v>
      </c>
      <c r="H253" s="44"/>
      <c r="I253" s="44"/>
      <c r="J253" s="44"/>
      <c r="K253" s="44"/>
      <c r="L253" s="44"/>
      <c r="M253" s="44"/>
      <c r="N253" s="44"/>
      <c r="O253" s="44"/>
      <c r="P253" s="44"/>
      <c r="Q253" s="44"/>
      <c r="R253" s="44"/>
      <c r="S253" s="44"/>
      <c r="T253" s="44"/>
      <c r="U253" s="44"/>
      <c r="V253" s="44"/>
      <c r="W253" s="44"/>
      <c r="X253" s="44"/>
      <c r="Y253" s="44"/>
      <c r="Z253" s="44"/>
      <c r="AA253" s="44"/>
      <c r="AB253" s="44"/>
      <c r="AC253" s="44"/>
    </row>
    <row r="254" spans="1:29" ht="15" customHeight="1" x14ac:dyDescent="0.25">
      <c r="A254" s="1" t="str">
        <f>IF(48&lt;=Inputs!$B$3,48,"")</f>
        <v/>
      </c>
      <c r="B254" s="1" t="str">
        <f t="shared" si="33"/>
        <v/>
      </c>
      <c r="C254" s="44" t="str">
        <f>IF($A254="","",Inputs!$B$4*12*(1+Inputs!$B$10/100)^($A254-1))</f>
        <v/>
      </c>
      <c r="D254" s="44" t="str">
        <f>IF($A254="","",B254*(Inputs!$B$5/100))</f>
        <v/>
      </c>
      <c r="E254" s="64" t="str">
        <f>IF($A254="","",IFERROR(IF(OR(Inputs!$B$8&lt;=0,Inputs!$B$8=""),0,IF(AND($A254&gt;=Inputs!$B$8,MOD($A254,Inputs!$B$8)=0),Inputs!$B$7*(1+Inputs!$B$6/100)^$A254,0)),0))</f>
        <v/>
      </c>
      <c r="F254" s="44" t="str">
        <f t="shared" si="31"/>
        <v/>
      </c>
      <c r="G254" s="44">
        <f t="shared" si="32"/>
        <v>0</v>
      </c>
      <c r="H254" s="44"/>
      <c r="I254" s="44"/>
      <c r="J254" s="44"/>
      <c r="K254" s="44"/>
      <c r="L254" s="44"/>
      <c r="M254" s="44"/>
      <c r="N254" s="44"/>
      <c r="O254" s="44"/>
      <c r="P254" s="44"/>
      <c r="Q254" s="44"/>
      <c r="R254" s="44"/>
      <c r="S254" s="44"/>
      <c r="T254" s="44"/>
      <c r="U254" s="44"/>
      <c r="V254" s="44"/>
      <c r="W254" s="44"/>
      <c r="X254" s="44"/>
      <c r="Y254" s="44"/>
      <c r="Z254" s="44"/>
      <c r="AA254" s="44"/>
      <c r="AB254" s="44"/>
      <c r="AC254" s="44"/>
    </row>
    <row r="255" spans="1:29" ht="15" customHeight="1" x14ac:dyDescent="0.25">
      <c r="A255" s="1" t="str">
        <f>IF(49&lt;=Inputs!$B$3,49,"")</f>
        <v/>
      </c>
      <c r="B255" s="1" t="str">
        <f t="shared" si="33"/>
        <v/>
      </c>
      <c r="C255" s="44" t="str">
        <f>IF($A255="","",Inputs!$B$4*12*(1+Inputs!$B$10/100)^($A255-1))</f>
        <v/>
      </c>
      <c r="D255" s="44" t="str">
        <f>IF($A255="","",B255*(Inputs!$B$5/100))</f>
        <v/>
      </c>
      <c r="E255" s="64" t="str">
        <f>IF($A255="","",IFERROR(IF(OR(Inputs!$B$8&lt;=0,Inputs!$B$8=""),0,IF(AND($A255&gt;=Inputs!$B$8,MOD($A255,Inputs!$B$8)=0),Inputs!$B$7*(1+Inputs!$B$6/100)^$A255,0)),0))</f>
        <v/>
      </c>
      <c r="F255" s="44" t="str">
        <f t="shared" si="31"/>
        <v/>
      </c>
      <c r="G255" s="44">
        <f t="shared" si="32"/>
        <v>0</v>
      </c>
      <c r="H255" s="44"/>
      <c r="I255" s="44"/>
      <c r="J255" s="44"/>
      <c r="K255" s="44"/>
      <c r="L255" s="44"/>
      <c r="M255" s="44"/>
      <c r="N255" s="44"/>
      <c r="O255" s="44"/>
      <c r="P255" s="44"/>
      <c r="Q255" s="44"/>
      <c r="R255" s="44"/>
      <c r="S255" s="44"/>
      <c r="T255" s="44"/>
      <c r="U255" s="44"/>
      <c r="V255" s="44"/>
      <c r="W255" s="44"/>
      <c r="X255" s="44"/>
      <c r="Y255" s="44"/>
      <c r="Z255" s="44"/>
      <c r="AA255" s="44"/>
      <c r="AB255" s="44"/>
      <c r="AC255" s="44"/>
    </row>
    <row r="256" spans="1:29" ht="15" customHeight="1" x14ac:dyDescent="0.25">
      <c r="A256" s="1" t="str">
        <f>IF(50&lt;=Inputs!$B$3,50,"")</f>
        <v/>
      </c>
      <c r="B256" s="1" t="str">
        <f t="shared" si="33"/>
        <v/>
      </c>
      <c r="C256" s="44" t="str">
        <f>IF($A256="","",Inputs!$B$4*12*(1+Inputs!$B$10/100)^($A256-1))</f>
        <v/>
      </c>
      <c r="D256" s="44" t="str">
        <f>IF($A256="","",B256*(Inputs!$B$5/100))</f>
        <v/>
      </c>
      <c r="E256" s="64" t="str">
        <f>IF($A256="","",IFERROR(IF(OR(Inputs!$B$8&lt;=0,Inputs!$B$8=""),0,IF(AND($A256&gt;=Inputs!$B$8,MOD($A256,Inputs!$B$8)=0),Inputs!$B$7*(1+Inputs!$B$6/100)^$A256,0)),0))</f>
        <v/>
      </c>
      <c r="F256" s="44" t="str">
        <f t="shared" si="31"/>
        <v/>
      </c>
      <c r="G256" s="44">
        <f t="shared" si="32"/>
        <v>0</v>
      </c>
      <c r="H256" s="44"/>
      <c r="I256" s="44"/>
      <c r="J256" s="44"/>
      <c r="K256" s="44"/>
      <c r="L256" s="44"/>
      <c r="M256" s="44"/>
      <c r="N256" s="44"/>
      <c r="O256" s="44"/>
      <c r="P256" s="44"/>
      <c r="Q256" s="44"/>
      <c r="R256" s="44"/>
      <c r="S256" s="44"/>
      <c r="T256" s="44"/>
      <c r="U256" s="44"/>
      <c r="V256" s="44"/>
      <c r="W256" s="44"/>
      <c r="X256" s="44"/>
      <c r="Y256" s="44"/>
      <c r="Z256" s="44"/>
      <c r="AA256" s="44"/>
      <c r="AB256" s="44"/>
      <c r="AC256" s="44"/>
    </row>
    <row r="257" spans="1:29" ht="15" customHeight="1" x14ac:dyDescent="0.25">
      <c r="A257" s="1" t="str">
        <f>IF(51&lt;=Inputs!$B$3,51,"")</f>
        <v/>
      </c>
      <c r="B257" s="1" t="str">
        <f t="shared" si="33"/>
        <v/>
      </c>
      <c r="C257" s="44" t="str">
        <f>IF($A257="","",Inputs!$B$4*12*(1+Inputs!$B$10/100)^($A257-1))</f>
        <v/>
      </c>
      <c r="D257" s="44" t="str">
        <f>IF($A257="","",B257*(Inputs!$B$5/100))</f>
        <v/>
      </c>
      <c r="E257" s="64" t="str">
        <f>IF($A257="","",IFERROR(IF(OR(Inputs!$B$8&lt;=0,Inputs!$B$8=""),0,IF(AND($A257&gt;=Inputs!$B$8,MOD($A257,Inputs!$B$8)=0),Inputs!$B$7*(1+Inputs!$B$6/100)^$A257,0)),0))</f>
        <v/>
      </c>
      <c r="F257" s="44" t="str">
        <f t="shared" si="31"/>
        <v/>
      </c>
      <c r="G257" s="44">
        <f t="shared" si="32"/>
        <v>0</v>
      </c>
      <c r="H257" s="44"/>
      <c r="I257" s="44"/>
      <c r="J257" s="44"/>
      <c r="K257" s="44"/>
      <c r="L257" s="44"/>
      <c r="M257" s="44"/>
      <c r="N257" s="44"/>
      <c r="O257" s="44"/>
      <c r="P257" s="44"/>
      <c r="Q257" s="44"/>
      <c r="R257" s="44"/>
      <c r="S257" s="44"/>
      <c r="T257" s="44"/>
      <c r="U257" s="44"/>
      <c r="V257" s="44"/>
      <c r="W257" s="44"/>
      <c r="X257" s="44"/>
      <c r="Y257" s="44"/>
      <c r="Z257" s="44"/>
      <c r="AA257" s="44"/>
      <c r="AB257" s="44"/>
      <c r="AC257" s="44"/>
    </row>
    <row r="258" spans="1:29" ht="15" customHeight="1" x14ac:dyDescent="0.25">
      <c r="A258" s="1" t="str">
        <f>IF(52&lt;=Inputs!$B$3,52,"")</f>
        <v/>
      </c>
      <c r="B258" s="1" t="str">
        <f t="shared" si="33"/>
        <v/>
      </c>
      <c r="C258" s="44" t="str">
        <f>IF($A258="","",Inputs!$B$4*12*(1+Inputs!$B$10/100)^($A258-1))</f>
        <v/>
      </c>
      <c r="D258" s="44" t="str">
        <f>IF($A258="","",B258*(Inputs!$B$5/100))</f>
        <v/>
      </c>
      <c r="E258" s="64" t="str">
        <f>IF($A258="","",IFERROR(IF(OR(Inputs!$B$8&lt;=0,Inputs!$B$8=""),0,IF(AND($A258&gt;=Inputs!$B$8,MOD($A258,Inputs!$B$8)=0),Inputs!$B$7*(1+Inputs!$B$6/100)^$A258,0)),0))</f>
        <v/>
      </c>
      <c r="F258" s="44" t="str">
        <f t="shared" si="31"/>
        <v/>
      </c>
      <c r="G258" s="44">
        <f t="shared" si="32"/>
        <v>0</v>
      </c>
      <c r="H258" s="44"/>
      <c r="I258" s="44"/>
      <c r="J258" s="44"/>
      <c r="K258" s="44"/>
      <c r="L258" s="44"/>
      <c r="M258" s="44"/>
      <c r="N258" s="44"/>
      <c r="O258" s="44"/>
      <c r="P258" s="44"/>
      <c r="Q258" s="44"/>
      <c r="R258" s="44"/>
      <c r="S258" s="44"/>
      <c r="T258" s="44"/>
      <c r="U258" s="44"/>
      <c r="V258" s="44"/>
      <c r="W258" s="44"/>
      <c r="X258" s="44"/>
      <c r="Y258" s="44"/>
      <c r="Z258" s="44"/>
      <c r="AA258" s="44"/>
      <c r="AB258" s="44"/>
      <c r="AC258" s="44"/>
    </row>
    <row r="259" spans="1:29" ht="15" customHeight="1" x14ac:dyDescent="0.25">
      <c r="A259" s="1" t="str">
        <f>IF(53&lt;=Inputs!$B$3,53,"")</f>
        <v/>
      </c>
      <c r="B259" s="1" t="str">
        <f t="shared" si="33"/>
        <v/>
      </c>
      <c r="C259" s="44" t="str">
        <f>IF($A259="","",Inputs!$B$4*12*(1+Inputs!$B$10/100)^($A259-1))</f>
        <v/>
      </c>
      <c r="D259" s="44" t="str">
        <f>IF($A259="","",B259*(Inputs!$B$5/100))</f>
        <v/>
      </c>
      <c r="E259" s="64" t="str">
        <f>IF($A259="","",IFERROR(IF(OR(Inputs!$B$8&lt;=0,Inputs!$B$8=""),0,IF(AND($A259&gt;=Inputs!$B$8,MOD($A259,Inputs!$B$8)=0),Inputs!$B$7*(1+Inputs!$B$6/100)^$A259,0)),0))</f>
        <v/>
      </c>
      <c r="F259" s="44" t="str">
        <f t="shared" si="31"/>
        <v/>
      </c>
      <c r="G259" s="44">
        <f t="shared" si="32"/>
        <v>0</v>
      </c>
      <c r="H259" s="44"/>
      <c r="I259" s="44"/>
      <c r="J259" s="44"/>
      <c r="K259" s="44"/>
      <c r="L259" s="44"/>
      <c r="M259" s="44"/>
      <c r="N259" s="44"/>
      <c r="O259" s="44"/>
      <c r="P259" s="44"/>
      <c r="Q259" s="44"/>
      <c r="R259" s="44"/>
      <c r="S259" s="44"/>
      <c r="T259" s="44"/>
      <c r="U259" s="44"/>
      <c r="V259" s="44"/>
      <c r="W259" s="44"/>
      <c r="X259" s="44"/>
      <c r="Y259" s="44"/>
      <c r="Z259" s="44"/>
      <c r="AA259" s="44"/>
      <c r="AB259" s="44"/>
      <c r="AC259" s="44"/>
    </row>
    <row r="260" spans="1:29" ht="15" customHeight="1" x14ac:dyDescent="0.25">
      <c r="A260" s="1" t="str">
        <f>IF(54&lt;=Inputs!$B$3,54,"")</f>
        <v/>
      </c>
      <c r="B260" s="1" t="str">
        <f t="shared" si="33"/>
        <v/>
      </c>
      <c r="C260" s="44" t="str">
        <f>IF($A260="","",Inputs!$B$4*12*(1+Inputs!$B$10/100)^($A260-1))</f>
        <v/>
      </c>
      <c r="D260" s="44" t="str">
        <f>IF($A260="","",B260*(Inputs!$B$5/100))</f>
        <v/>
      </c>
      <c r="E260" s="64" t="str">
        <f>IF($A260="","",IFERROR(IF(OR(Inputs!$B$8&lt;=0,Inputs!$B$8=""),0,IF(AND($A260&gt;=Inputs!$B$8,MOD($A260,Inputs!$B$8)=0),Inputs!$B$7*(1+Inputs!$B$6/100)^$A260,0)),0))</f>
        <v/>
      </c>
      <c r="F260" s="44" t="str">
        <f t="shared" si="31"/>
        <v/>
      </c>
      <c r="G260" s="44">
        <f t="shared" si="32"/>
        <v>0</v>
      </c>
      <c r="H260" s="44"/>
      <c r="I260" s="44"/>
      <c r="J260" s="44"/>
      <c r="K260" s="44"/>
      <c r="L260" s="44"/>
      <c r="M260" s="44"/>
      <c r="N260" s="44"/>
      <c r="O260" s="44"/>
      <c r="P260" s="44"/>
      <c r="Q260" s="44"/>
      <c r="R260" s="44"/>
      <c r="S260" s="44"/>
      <c r="T260" s="44"/>
      <c r="U260" s="44"/>
      <c r="V260" s="44"/>
      <c r="W260" s="44"/>
      <c r="X260" s="44"/>
      <c r="Y260" s="44"/>
      <c r="Z260" s="44"/>
      <c r="AA260" s="44"/>
      <c r="AB260" s="44"/>
      <c r="AC260" s="44"/>
    </row>
    <row r="261" spans="1:29" ht="15" customHeight="1" x14ac:dyDescent="0.25">
      <c r="A261" s="1" t="str">
        <f>IF(55&lt;=Inputs!$B$3,55,"")</f>
        <v/>
      </c>
      <c r="B261" s="1" t="str">
        <f t="shared" si="33"/>
        <v/>
      </c>
      <c r="C261" s="44" t="str">
        <f>IF($A261="","",Inputs!$B$4*12*(1+Inputs!$B$10/100)^($A261-1))</f>
        <v/>
      </c>
      <c r="D261" s="44" t="str">
        <f>IF($A261="","",B261*(Inputs!$B$5/100))</f>
        <v/>
      </c>
      <c r="E261" s="64" t="str">
        <f>IF($A261="","",IFERROR(IF(OR(Inputs!$B$8&lt;=0,Inputs!$B$8=""),0,IF(AND($A261&gt;=Inputs!$B$8,MOD($A261,Inputs!$B$8)=0),Inputs!$B$7*(1+Inputs!$B$6/100)^$A261,0)),0))</f>
        <v/>
      </c>
      <c r="F261" s="44" t="str">
        <f t="shared" si="31"/>
        <v/>
      </c>
      <c r="G261" s="44">
        <f t="shared" si="32"/>
        <v>0</v>
      </c>
      <c r="H261" s="44"/>
      <c r="I261" s="44"/>
      <c r="J261" s="44"/>
      <c r="K261" s="44"/>
      <c r="L261" s="44"/>
      <c r="M261" s="44"/>
      <c r="N261" s="44"/>
      <c r="O261" s="44"/>
      <c r="P261" s="44"/>
      <c r="Q261" s="44"/>
      <c r="R261" s="44"/>
      <c r="S261" s="44"/>
      <c r="T261" s="44"/>
      <c r="U261" s="44"/>
      <c r="V261" s="44"/>
      <c r="W261" s="44"/>
      <c r="X261" s="44"/>
      <c r="Y261" s="44"/>
      <c r="Z261" s="44"/>
      <c r="AA261" s="44"/>
      <c r="AB261" s="44"/>
      <c r="AC261" s="44"/>
    </row>
    <row r="262" spans="1:29" ht="15" customHeight="1" x14ac:dyDescent="0.25">
      <c r="A262" s="1" t="str">
        <f>IF(56&lt;=Inputs!$B$3,56,"")</f>
        <v/>
      </c>
      <c r="B262" s="1" t="str">
        <f t="shared" si="33"/>
        <v/>
      </c>
      <c r="C262" s="44" t="str">
        <f>IF($A262="","",Inputs!$B$4*12*(1+Inputs!$B$10/100)^($A262-1))</f>
        <v/>
      </c>
      <c r="D262" s="44" t="str">
        <f>IF($A262="","",B262*(Inputs!$B$5/100))</f>
        <v/>
      </c>
      <c r="E262" s="64" t="str">
        <f>IF($A262="","",IFERROR(IF(OR(Inputs!$B$8&lt;=0,Inputs!$B$8=""),0,IF(AND($A262&gt;=Inputs!$B$8,MOD($A262,Inputs!$B$8)=0),Inputs!$B$7*(1+Inputs!$B$6/100)^$A262,0)),0))</f>
        <v/>
      </c>
      <c r="F262" s="44" t="str">
        <f t="shared" si="31"/>
        <v/>
      </c>
      <c r="G262" s="44">
        <f t="shared" si="32"/>
        <v>0</v>
      </c>
      <c r="H262" s="44"/>
      <c r="I262" s="44"/>
      <c r="J262" s="44"/>
      <c r="K262" s="44"/>
      <c r="L262" s="44"/>
      <c r="M262" s="44"/>
      <c r="N262" s="44"/>
      <c r="O262" s="44"/>
      <c r="P262" s="44"/>
      <c r="Q262" s="44"/>
      <c r="R262" s="44"/>
      <c r="S262" s="44"/>
      <c r="T262" s="44"/>
      <c r="U262" s="44"/>
      <c r="V262" s="44"/>
      <c r="W262" s="44"/>
      <c r="X262" s="44"/>
      <c r="Y262" s="44"/>
      <c r="Z262" s="44"/>
      <c r="AA262" s="44"/>
      <c r="AB262" s="44"/>
      <c r="AC262" s="44"/>
    </row>
    <row r="263" spans="1:29" ht="15" customHeight="1" x14ac:dyDescent="0.25">
      <c r="A263" s="1" t="str">
        <f>IF(57&lt;=Inputs!$B$3,57,"")</f>
        <v/>
      </c>
      <c r="B263" s="1" t="str">
        <f t="shared" si="33"/>
        <v/>
      </c>
      <c r="C263" s="44" t="str">
        <f>IF($A263="","",Inputs!$B$4*12*(1+Inputs!$B$10/100)^($A263-1))</f>
        <v/>
      </c>
      <c r="D263" s="44" t="str">
        <f>IF($A263="","",B263*(Inputs!$B$5/100))</f>
        <v/>
      </c>
      <c r="E263" s="64" t="str">
        <f>IF($A263="","",IFERROR(IF(OR(Inputs!$B$8&lt;=0,Inputs!$B$8=""),0,IF(AND($A263&gt;=Inputs!$B$8,MOD($A263,Inputs!$B$8)=0),Inputs!$B$7*(1+Inputs!$B$6/100)^$A263,0)),0))</f>
        <v/>
      </c>
      <c r="F263" s="44" t="str">
        <f t="shared" si="31"/>
        <v/>
      </c>
      <c r="G263" s="44">
        <f t="shared" si="32"/>
        <v>0</v>
      </c>
      <c r="H263" s="44"/>
      <c r="I263" s="44"/>
      <c r="J263" s="44"/>
      <c r="K263" s="44"/>
      <c r="L263" s="44"/>
      <c r="M263" s="44"/>
      <c r="N263" s="44"/>
      <c r="O263" s="44"/>
      <c r="P263" s="44"/>
      <c r="Q263" s="44"/>
      <c r="R263" s="44"/>
      <c r="S263" s="44"/>
      <c r="T263" s="44"/>
      <c r="U263" s="44"/>
      <c r="V263" s="44"/>
      <c r="W263" s="44"/>
      <c r="X263" s="44"/>
      <c r="Y263" s="44"/>
      <c r="Z263" s="44"/>
      <c r="AA263" s="44"/>
      <c r="AB263" s="44"/>
      <c r="AC263" s="44"/>
    </row>
    <row r="264" spans="1:29" ht="15" customHeight="1" x14ac:dyDescent="0.25">
      <c r="A264" s="1" t="str">
        <f>IF(58&lt;=Inputs!$B$3,58,"")</f>
        <v/>
      </c>
      <c r="B264" s="1" t="str">
        <f t="shared" si="33"/>
        <v/>
      </c>
      <c r="C264" s="44" t="str">
        <f>IF($A264="","",Inputs!$B$4*12*(1+Inputs!$B$10/100)^($A264-1))</f>
        <v/>
      </c>
      <c r="D264" s="44" t="str">
        <f>IF($A264="","",B264*(Inputs!$B$5/100))</f>
        <v/>
      </c>
      <c r="E264" s="64" t="str">
        <f>IF($A264="","",IFERROR(IF(OR(Inputs!$B$8&lt;=0,Inputs!$B$8=""),0,IF(AND($A264&gt;=Inputs!$B$8,MOD($A264,Inputs!$B$8)=0),Inputs!$B$7*(1+Inputs!$B$6/100)^$A264,0)),0))</f>
        <v/>
      </c>
      <c r="F264" s="44" t="str">
        <f t="shared" si="31"/>
        <v/>
      </c>
      <c r="G264" s="44">
        <f t="shared" si="32"/>
        <v>0</v>
      </c>
      <c r="H264" s="44"/>
      <c r="I264" s="44"/>
      <c r="J264" s="44"/>
      <c r="K264" s="44"/>
      <c r="L264" s="44"/>
      <c r="M264" s="44"/>
      <c r="N264" s="44"/>
      <c r="O264" s="44"/>
      <c r="P264" s="44"/>
      <c r="Q264" s="44"/>
      <c r="R264" s="44"/>
      <c r="S264" s="44"/>
      <c r="T264" s="44"/>
      <c r="U264" s="44"/>
      <c r="V264" s="44"/>
      <c r="W264" s="44"/>
      <c r="X264" s="44"/>
      <c r="Y264" s="44"/>
      <c r="Z264" s="44"/>
      <c r="AA264" s="44"/>
      <c r="AB264" s="44"/>
      <c r="AC264" s="44"/>
    </row>
    <row r="265" spans="1:29" ht="15" customHeight="1" x14ac:dyDescent="0.25">
      <c r="A265" s="1" t="str">
        <f>IF(59&lt;=Inputs!$B$3,59,"")</f>
        <v/>
      </c>
      <c r="B265" s="1" t="str">
        <f t="shared" si="33"/>
        <v/>
      </c>
      <c r="C265" s="44" t="str">
        <f>IF($A265="","",Inputs!$B$4*12*(1+Inputs!$B$10/100)^($A265-1))</f>
        <v/>
      </c>
      <c r="D265" s="44" t="str">
        <f>IF($A265="","",B265*(Inputs!$B$5/100))</f>
        <v/>
      </c>
      <c r="E265" s="64" t="str">
        <f>IF($A265="","",IFERROR(IF(OR(Inputs!$B$8&lt;=0,Inputs!$B$8=""),0,IF(AND($A265&gt;=Inputs!$B$8,MOD($A265,Inputs!$B$8)=0),Inputs!$B$7*(1+Inputs!$B$6/100)^$A265,0)),0))</f>
        <v/>
      </c>
      <c r="F265" s="44" t="str">
        <f t="shared" si="31"/>
        <v/>
      </c>
      <c r="G265" s="44">
        <f t="shared" si="32"/>
        <v>0</v>
      </c>
      <c r="H265" s="44"/>
      <c r="I265" s="44"/>
      <c r="J265" s="44"/>
      <c r="K265" s="44"/>
      <c r="L265" s="44"/>
      <c r="M265" s="44"/>
      <c r="N265" s="44"/>
      <c r="O265" s="44"/>
      <c r="P265" s="44"/>
      <c r="Q265" s="44"/>
      <c r="R265" s="44"/>
      <c r="S265" s="44"/>
      <c r="T265" s="44"/>
      <c r="U265" s="44"/>
      <c r="V265" s="44"/>
      <c r="W265" s="44"/>
      <c r="X265" s="44"/>
      <c r="Y265" s="44"/>
      <c r="Z265" s="44"/>
      <c r="AA265" s="44"/>
      <c r="AB265" s="44"/>
      <c r="AC265" s="44"/>
    </row>
    <row r="266" spans="1:29" ht="15" customHeight="1" x14ac:dyDescent="0.25">
      <c r="A266" s="1" t="str">
        <f>IF(60&lt;=Inputs!$B$3,60,"")</f>
        <v/>
      </c>
      <c r="B266" s="1" t="str">
        <f t="shared" si="33"/>
        <v/>
      </c>
      <c r="C266" s="44" t="str">
        <f>IF($A266="","",Inputs!$B$4*12*(1+Inputs!$B$10/100)^($A266-1))</f>
        <v/>
      </c>
      <c r="D266" s="44" t="str">
        <f>IF($A266="","",B266*(Inputs!$B$5/100))</f>
        <v/>
      </c>
      <c r="E266" s="64" t="str">
        <f>IF($A266="","",IFERROR(IF(OR(Inputs!$B$8&lt;=0,Inputs!$B$8=""),0,IF(AND($A266&gt;=Inputs!$B$8,MOD($A266,Inputs!$B$8)=0),Inputs!$B$7*(1+Inputs!$B$6/100)^$A266,0)),0))</f>
        <v/>
      </c>
      <c r="F266" s="44" t="str">
        <f t="shared" si="31"/>
        <v/>
      </c>
      <c r="G266" s="44">
        <f t="shared" si="32"/>
        <v>0</v>
      </c>
      <c r="H266" s="44"/>
      <c r="I266" s="44"/>
      <c r="J266" s="44"/>
      <c r="K266" s="44"/>
      <c r="L266" s="44"/>
      <c r="M266" s="44"/>
      <c r="N266" s="44"/>
      <c r="O266" s="44"/>
      <c r="P266" s="44"/>
      <c r="Q266" s="44"/>
      <c r="R266" s="44"/>
      <c r="S266" s="44"/>
      <c r="T266" s="44"/>
      <c r="U266" s="44"/>
      <c r="V266" s="44"/>
      <c r="W266" s="44"/>
      <c r="X266" s="44"/>
      <c r="Y266" s="44"/>
      <c r="Z266" s="44"/>
      <c r="AA266" s="44"/>
      <c r="AB266" s="44"/>
      <c r="AC266" s="44"/>
    </row>
    <row r="267" spans="1:29" ht="15" customHeight="1" x14ac:dyDescent="0.25">
      <c r="A267" s="1" t="str">
        <f>IF(61&lt;=Inputs!$B$3,61,"")</f>
        <v/>
      </c>
      <c r="B267" s="1" t="str">
        <f t="shared" si="33"/>
        <v/>
      </c>
      <c r="C267" s="44" t="str">
        <f>IF($A267="","",Inputs!$B$4*12*(1+Inputs!$B$10/100)^($A267-1))</f>
        <v/>
      </c>
      <c r="D267" s="44" t="str">
        <f>IF($A267="","",B267*(Inputs!$B$5/100))</f>
        <v/>
      </c>
      <c r="E267" s="64" t="str">
        <f>IF($A267="","",IFERROR(IF(OR(Inputs!$B$8&lt;=0,Inputs!$B$8=""),0,IF(AND($A267&gt;=Inputs!$B$8,MOD($A267,Inputs!$B$8)=0),Inputs!$B$7*(1+Inputs!$B$6/100)^$A267,0)),0))</f>
        <v/>
      </c>
      <c r="F267" s="44" t="str">
        <f t="shared" si="31"/>
        <v/>
      </c>
      <c r="G267" s="44">
        <f t="shared" si="32"/>
        <v>0</v>
      </c>
      <c r="H267" s="44"/>
      <c r="I267" s="44"/>
      <c r="J267" s="44"/>
      <c r="K267" s="44"/>
      <c r="L267" s="44"/>
      <c r="M267" s="44"/>
      <c r="N267" s="44"/>
      <c r="O267" s="44"/>
      <c r="P267" s="44"/>
      <c r="Q267" s="44"/>
      <c r="R267" s="44"/>
      <c r="S267" s="44"/>
      <c r="T267" s="44"/>
      <c r="U267" s="44"/>
      <c r="V267" s="44"/>
      <c r="W267" s="44"/>
      <c r="X267" s="44"/>
      <c r="Y267" s="44"/>
      <c r="Z267" s="44"/>
      <c r="AA267" s="44"/>
      <c r="AB267" s="44"/>
      <c r="AC267" s="44"/>
    </row>
    <row r="268" spans="1:29" ht="15" customHeight="1" x14ac:dyDescent="0.25">
      <c r="A268" s="1" t="str">
        <f>IF(62&lt;=Inputs!$B$3,62,"")</f>
        <v/>
      </c>
      <c r="B268" s="1" t="str">
        <f t="shared" si="33"/>
        <v/>
      </c>
      <c r="C268" s="44" t="str">
        <f>IF($A268="","",Inputs!$B$4*12*(1+Inputs!$B$10/100)^($A268-1))</f>
        <v/>
      </c>
      <c r="D268" s="44" t="str">
        <f>IF($A268="","",B268*(Inputs!$B$5/100))</f>
        <v/>
      </c>
      <c r="E268" s="64" t="str">
        <f>IF($A268="","",IFERROR(IF(OR(Inputs!$B$8&lt;=0,Inputs!$B$8=""),0,IF(AND($A268&gt;=Inputs!$B$8,MOD($A268,Inputs!$B$8)=0),Inputs!$B$7*(1+Inputs!$B$6/100)^$A268,0)),0))</f>
        <v/>
      </c>
      <c r="F268" s="44" t="str">
        <f t="shared" si="31"/>
        <v/>
      </c>
      <c r="G268" s="44">
        <f t="shared" si="32"/>
        <v>0</v>
      </c>
      <c r="H268" s="44"/>
      <c r="I268" s="44"/>
      <c r="J268" s="44"/>
      <c r="K268" s="44"/>
      <c r="L268" s="44"/>
      <c r="M268" s="44"/>
      <c r="N268" s="44"/>
      <c r="O268" s="44"/>
      <c r="P268" s="44"/>
      <c r="Q268" s="44"/>
      <c r="R268" s="44"/>
      <c r="S268" s="44"/>
      <c r="T268" s="44"/>
      <c r="U268" s="44"/>
      <c r="V268" s="44"/>
      <c r="W268" s="44"/>
      <c r="X268" s="44"/>
      <c r="Y268" s="44"/>
      <c r="Z268" s="44"/>
      <c r="AA268" s="44"/>
      <c r="AB268" s="44"/>
      <c r="AC268" s="44"/>
    </row>
    <row r="269" spans="1:29" ht="15" customHeight="1" x14ac:dyDescent="0.25">
      <c r="A269" s="1" t="str">
        <f>IF(63&lt;=Inputs!$B$3,63,"")</f>
        <v/>
      </c>
      <c r="B269" s="1" t="str">
        <f t="shared" si="33"/>
        <v/>
      </c>
      <c r="C269" s="44" t="str">
        <f>IF($A269="","",Inputs!$B$4*12*(1+Inputs!$B$10/100)^($A269-1))</f>
        <v/>
      </c>
      <c r="D269" s="44" t="str">
        <f>IF($A269="","",B269*(Inputs!$B$5/100))</f>
        <v/>
      </c>
      <c r="E269" s="64" t="str">
        <f>IF($A269="","",IFERROR(IF(OR(Inputs!$B$8&lt;=0,Inputs!$B$8=""),0,IF(AND($A269&gt;=Inputs!$B$8,MOD($A269,Inputs!$B$8)=0),Inputs!$B$7*(1+Inputs!$B$6/100)^$A269,0)),0))</f>
        <v/>
      </c>
      <c r="F269" s="44" t="str">
        <f t="shared" si="31"/>
        <v/>
      </c>
      <c r="G269" s="44">
        <f t="shared" si="32"/>
        <v>0</v>
      </c>
      <c r="H269" s="44"/>
      <c r="I269" s="44"/>
      <c r="J269" s="44"/>
      <c r="K269" s="44"/>
      <c r="L269" s="44"/>
      <c r="M269" s="44"/>
      <c r="N269" s="44"/>
      <c r="O269" s="44"/>
      <c r="P269" s="44"/>
      <c r="Q269" s="44"/>
      <c r="R269" s="44"/>
      <c r="S269" s="44"/>
      <c r="T269" s="44"/>
      <c r="U269" s="44"/>
      <c r="V269" s="44"/>
      <c r="W269" s="44"/>
      <c r="X269" s="44"/>
      <c r="Y269" s="44"/>
      <c r="Z269" s="44"/>
      <c r="AA269" s="44"/>
      <c r="AB269" s="44"/>
      <c r="AC269" s="44"/>
    </row>
    <row r="270" spans="1:29" ht="15" customHeight="1" x14ac:dyDescent="0.25">
      <c r="A270" s="1" t="str">
        <f>IF(64&lt;=Inputs!$B$3,64,"")</f>
        <v/>
      </c>
      <c r="B270" s="1" t="str">
        <f t="shared" si="33"/>
        <v/>
      </c>
      <c r="C270" s="44" t="str">
        <f>IF($A270="","",Inputs!$B$4*12*(1+Inputs!$B$10/100)^($A270-1))</f>
        <v/>
      </c>
      <c r="D270" s="44" t="str">
        <f>IF($A270="","",B270*(Inputs!$B$5/100))</f>
        <v/>
      </c>
      <c r="E270" s="64" t="str">
        <f>IF($A270="","",IFERROR(IF(OR(Inputs!$B$8&lt;=0,Inputs!$B$8=""),0,IF(AND($A270&gt;=Inputs!$B$8,MOD($A270,Inputs!$B$8)=0),Inputs!$B$7*(1+Inputs!$B$6/100)^$A270,0)),0))</f>
        <v/>
      </c>
      <c r="F270" s="44" t="str">
        <f t="shared" si="31"/>
        <v/>
      </c>
      <c r="G270" s="44">
        <f t="shared" si="32"/>
        <v>0</v>
      </c>
      <c r="H270" s="44"/>
      <c r="I270" s="44"/>
      <c r="J270" s="44"/>
      <c r="K270" s="44"/>
      <c r="L270" s="44"/>
      <c r="M270" s="44"/>
      <c r="N270" s="44"/>
      <c r="O270" s="44"/>
      <c r="P270" s="44"/>
      <c r="Q270" s="44"/>
      <c r="R270" s="44"/>
      <c r="S270" s="44"/>
      <c r="T270" s="44"/>
      <c r="U270" s="44"/>
      <c r="V270" s="44"/>
      <c r="W270" s="44"/>
      <c r="X270" s="44"/>
      <c r="Y270" s="44"/>
      <c r="Z270" s="44"/>
      <c r="AA270" s="44"/>
      <c r="AB270" s="44"/>
      <c r="AC270" s="44"/>
    </row>
    <row r="271" spans="1:29" ht="15" customHeight="1" x14ac:dyDescent="0.25">
      <c r="A271" s="1" t="str">
        <f>IF(65&lt;=Inputs!$B$3,65,"")</f>
        <v/>
      </c>
      <c r="B271" s="1" t="str">
        <f t="shared" si="33"/>
        <v/>
      </c>
      <c r="C271" s="44" t="str">
        <f>IF($A271="","",Inputs!$B$4*12*(1+Inputs!$B$10/100)^($A271-1))</f>
        <v/>
      </c>
      <c r="D271" s="44" t="str">
        <f>IF($A271="","",B271*(Inputs!$B$5/100))</f>
        <v/>
      </c>
      <c r="E271" s="64" t="str">
        <f>IF($A271="","",IFERROR(IF(OR(Inputs!$B$8&lt;=0,Inputs!$B$8=""),0,IF(AND($A271&gt;=Inputs!$B$8,MOD($A271,Inputs!$B$8)=0),Inputs!$B$7*(1+Inputs!$B$6/100)^$A271,0)),0))</f>
        <v/>
      </c>
      <c r="F271" s="44" t="str">
        <f t="shared" ref="F271:F302" si="34">IF($A271="","",IFERROR(B271+C271+D271-E271,0))</f>
        <v/>
      </c>
      <c r="G271" s="44">
        <f t="shared" ref="G271:G306" si="35">IF($A271="",0,IF(IFERROR(D271,0)&gt;IFERROR(C271,0),1,0))</f>
        <v>0</v>
      </c>
      <c r="H271" s="44"/>
      <c r="I271" s="44"/>
      <c r="J271" s="44"/>
      <c r="K271" s="44"/>
      <c r="L271" s="44"/>
      <c r="M271" s="44"/>
      <c r="N271" s="44"/>
      <c r="O271" s="44"/>
      <c r="P271" s="44"/>
      <c r="Q271" s="44"/>
      <c r="R271" s="44"/>
      <c r="S271" s="44"/>
      <c r="T271" s="44"/>
      <c r="U271" s="44"/>
      <c r="V271" s="44"/>
      <c r="W271" s="44"/>
      <c r="X271" s="44"/>
      <c r="Y271" s="44"/>
      <c r="Z271" s="44"/>
      <c r="AA271" s="44"/>
      <c r="AB271" s="44"/>
      <c r="AC271" s="44"/>
    </row>
    <row r="272" spans="1:29" ht="15" customHeight="1" x14ac:dyDescent="0.25">
      <c r="A272" s="1" t="str">
        <f>IF(66&lt;=Inputs!$B$3,66,"")</f>
        <v/>
      </c>
      <c r="B272" s="1" t="str">
        <f t="shared" ref="B272:B306" si="36">IF($A272="","",IFERROR(F271,0))</f>
        <v/>
      </c>
      <c r="C272" s="44" t="str">
        <f>IF($A272="","",Inputs!$B$4*12*(1+Inputs!$B$10/100)^($A272-1))</f>
        <v/>
      </c>
      <c r="D272" s="44" t="str">
        <f>IF($A272="","",B272*(Inputs!$B$5/100))</f>
        <v/>
      </c>
      <c r="E272" s="64" t="str">
        <f>IF($A272="","",IFERROR(IF(OR(Inputs!$B$8&lt;=0,Inputs!$B$8=""),0,IF(AND($A272&gt;=Inputs!$B$8,MOD($A272,Inputs!$B$8)=0),Inputs!$B$7*(1+Inputs!$B$6/100)^$A272,0)),0))</f>
        <v/>
      </c>
      <c r="F272" s="44" t="str">
        <f t="shared" si="34"/>
        <v/>
      </c>
      <c r="G272" s="44">
        <f t="shared" si="35"/>
        <v>0</v>
      </c>
      <c r="H272" s="44"/>
      <c r="I272" s="44"/>
      <c r="J272" s="44"/>
      <c r="K272" s="44"/>
      <c r="L272" s="44"/>
      <c r="M272" s="44"/>
      <c r="N272" s="44"/>
      <c r="O272" s="44"/>
      <c r="P272" s="44"/>
      <c r="Q272" s="44"/>
      <c r="R272" s="44"/>
      <c r="S272" s="44"/>
      <c r="T272" s="44"/>
      <c r="U272" s="44"/>
      <c r="V272" s="44"/>
      <c r="W272" s="44"/>
      <c r="X272" s="44"/>
      <c r="Y272" s="44"/>
      <c r="Z272" s="44"/>
      <c r="AA272" s="44"/>
      <c r="AB272" s="44"/>
      <c r="AC272" s="44"/>
    </row>
    <row r="273" spans="1:29" ht="15" customHeight="1" x14ac:dyDescent="0.25">
      <c r="A273" s="1" t="str">
        <f>IF(67&lt;=Inputs!$B$3,67,"")</f>
        <v/>
      </c>
      <c r="B273" s="1" t="str">
        <f t="shared" si="36"/>
        <v/>
      </c>
      <c r="C273" s="44" t="str">
        <f>IF($A273="","",Inputs!$B$4*12*(1+Inputs!$B$10/100)^($A273-1))</f>
        <v/>
      </c>
      <c r="D273" s="44" t="str">
        <f>IF($A273="","",B273*(Inputs!$B$5/100))</f>
        <v/>
      </c>
      <c r="E273" s="64" t="str">
        <f>IF($A273="","",IFERROR(IF(OR(Inputs!$B$8&lt;=0,Inputs!$B$8=""),0,IF(AND($A273&gt;=Inputs!$B$8,MOD($A273,Inputs!$B$8)=0),Inputs!$B$7*(1+Inputs!$B$6/100)^$A273,0)),0))</f>
        <v/>
      </c>
      <c r="F273" s="44" t="str">
        <f t="shared" si="34"/>
        <v/>
      </c>
      <c r="G273" s="44">
        <f t="shared" si="35"/>
        <v>0</v>
      </c>
      <c r="H273" s="44"/>
      <c r="I273" s="44"/>
      <c r="J273" s="44"/>
      <c r="K273" s="44"/>
      <c r="L273" s="44"/>
      <c r="M273" s="44"/>
      <c r="N273" s="44"/>
      <c r="O273" s="44"/>
      <c r="P273" s="44"/>
      <c r="Q273" s="44"/>
      <c r="R273" s="44"/>
      <c r="S273" s="44"/>
      <c r="T273" s="44"/>
      <c r="U273" s="44"/>
      <c r="V273" s="44"/>
      <c r="W273" s="44"/>
      <c r="X273" s="44"/>
      <c r="Y273" s="44"/>
      <c r="Z273" s="44"/>
      <c r="AA273" s="44"/>
      <c r="AB273" s="44"/>
      <c r="AC273" s="44"/>
    </row>
    <row r="274" spans="1:29" ht="15" customHeight="1" x14ac:dyDescent="0.25">
      <c r="A274" s="1" t="str">
        <f>IF(68&lt;=Inputs!$B$3,68,"")</f>
        <v/>
      </c>
      <c r="B274" s="1" t="str">
        <f t="shared" si="36"/>
        <v/>
      </c>
      <c r="C274" s="44" t="str">
        <f>IF($A274="","",Inputs!$B$4*12*(1+Inputs!$B$10/100)^($A274-1))</f>
        <v/>
      </c>
      <c r="D274" s="44" t="str">
        <f>IF($A274="","",B274*(Inputs!$B$5/100))</f>
        <v/>
      </c>
      <c r="E274" s="64" t="str">
        <f>IF($A274="","",IFERROR(IF(OR(Inputs!$B$8&lt;=0,Inputs!$B$8=""),0,IF(AND($A274&gt;=Inputs!$B$8,MOD($A274,Inputs!$B$8)=0),Inputs!$B$7*(1+Inputs!$B$6/100)^$A274,0)),0))</f>
        <v/>
      </c>
      <c r="F274" s="44" t="str">
        <f t="shared" si="34"/>
        <v/>
      </c>
      <c r="G274" s="44">
        <f t="shared" si="35"/>
        <v>0</v>
      </c>
      <c r="H274" s="44"/>
      <c r="I274" s="44"/>
      <c r="J274" s="44"/>
      <c r="K274" s="44"/>
      <c r="L274" s="44"/>
      <c r="M274" s="44"/>
      <c r="N274" s="44"/>
      <c r="O274" s="44"/>
      <c r="P274" s="44"/>
      <c r="Q274" s="44"/>
      <c r="R274" s="44"/>
      <c r="S274" s="44"/>
      <c r="T274" s="44"/>
      <c r="U274" s="44"/>
      <c r="V274" s="44"/>
      <c r="W274" s="44"/>
      <c r="X274" s="44"/>
      <c r="Y274" s="44"/>
      <c r="Z274" s="44"/>
      <c r="AA274" s="44"/>
      <c r="AB274" s="44"/>
      <c r="AC274" s="44"/>
    </row>
    <row r="275" spans="1:29" ht="15" customHeight="1" x14ac:dyDescent="0.25">
      <c r="A275" s="1" t="str">
        <f>IF(69&lt;=Inputs!$B$3,69,"")</f>
        <v/>
      </c>
      <c r="B275" s="1" t="str">
        <f t="shared" si="36"/>
        <v/>
      </c>
      <c r="C275" s="44" t="str">
        <f>IF($A275="","",Inputs!$B$4*12*(1+Inputs!$B$10/100)^($A275-1))</f>
        <v/>
      </c>
      <c r="D275" s="44" t="str">
        <f>IF($A275="","",B275*(Inputs!$B$5/100))</f>
        <v/>
      </c>
      <c r="E275" s="64" t="str">
        <f>IF($A275="","",IFERROR(IF(OR(Inputs!$B$8&lt;=0,Inputs!$B$8=""),0,IF(AND($A275&gt;=Inputs!$B$8,MOD($A275,Inputs!$B$8)=0),Inputs!$B$7*(1+Inputs!$B$6/100)^$A275,0)),0))</f>
        <v/>
      </c>
      <c r="F275" s="44" t="str">
        <f t="shared" si="34"/>
        <v/>
      </c>
      <c r="G275" s="44">
        <f t="shared" si="35"/>
        <v>0</v>
      </c>
      <c r="H275" s="44"/>
      <c r="I275" s="44"/>
      <c r="J275" s="44"/>
      <c r="K275" s="44"/>
      <c r="L275" s="44"/>
      <c r="M275" s="44"/>
      <c r="N275" s="44"/>
      <c r="O275" s="44"/>
      <c r="P275" s="44"/>
      <c r="Q275" s="44"/>
      <c r="R275" s="44"/>
      <c r="S275" s="44"/>
      <c r="T275" s="44"/>
      <c r="U275" s="44"/>
      <c r="V275" s="44"/>
      <c r="W275" s="44"/>
      <c r="X275" s="44"/>
      <c r="Y275" s="44"/>
      <c r="Z275" s="44"/>
      <c r="AA275" s="44"/>
      <c r="AB275" s="44"/>
      <c r="AC275" s="44"/>
    </row>
    <row r="276" spans="1:29" ht="15" customHeight="1" x14ac:dyDescent="0.25">
      <c r="A276" s="1" t="str">
        <f>IF(70&lt;=Inputs!$B$3,70,"")</f>
        <v/>
      </c>
      <c r="B276" s="1" t="str">
        <f t="shared" si="36"/>
        <v/>
      </c>
      <c r="C276" s="44" t="str">
        <f>IF($A276="","",Inputs!$B$4*12*(1+Inputs!$B$10/100)^($A276-1))</f>
        <v/>
      </c>
      <c r="D276" s="44" t="str">
        <f>IF($A276="","",B276*(Inputs!$B$5/100))</f>
        <v/>
      </c>
      <c r="E276" s="64" t="str">
        <f>IF($A276="","",IFERROR(IF(OR(Inputs!$B$8&lt;=0,Inputs!$B$8=""),0,IF(AND($A276&gt;=Inputs!$B$8,MOD($A276,Inputs!$B$8)=0),Inputs!$B$7*(1+Inputs!$B$6/100)^$A276,0)),0))</f>
        <v/>
      </c>
      <c r="F276" s="44" t="str">
        <f t="shared" si="34"/>
        <v/>
      </c>
      <c r="G276" s="44">
        <f t="shared" si="35"/>
        <v>0</v>
      </c>
      <c r="H276" s="44"/>
      <c r="I276" s="44"/>
      <c r="J276" s="44"/>
      <c r="K276" s="44"/>
      <c r="L276" s="44"/>
      <c r="M276" s="44"/>
      <c r="N276" s="44"/>
      <c r="O276" s="44"/>
      <c r="P276" s="44"/>
      <c r="Q276" s="44"/>
      <c r="R276" s="44"/>
      <c r="S276" s="44"/>
      <c r="T276" s="44"/>
      <c r="U276" s="44"/>
      <c r="V276" s="44"/>
      <c r="W276" s="44"/>
      <c r="X276" s="44"/>
      <c r="Y276" s="44"/>
      <c r="Z276" s="44"/>
      <c r="AA276" s="44"/>
      <c r="AB276" s="44"/>
      <c r="AC276" s="44"/>
    </row>
    <row r="277" spans="1:29" ht="15" customHeight="1" x14ac:dyDescent="0.25">
      <c r="A277" s="1" t="str">
        <f>IF(71&lt;=Inputs!$B$3,71,"")</f>
        <v/>
      </c>
      <c r="B277" s="1" t="str">
        <f t="shared" si="36"/>
        <v/>
      </c>
      <c r="C277" s="44" t="str">
        <f>IF($A277="","",Inputs!$B$4*12*(1+Inputs!$B$10/100)^($A277-1))</f>
        <v/>
      </c>
      <c r="D277" s="44" t="str">
        <f>IF($A277="","",B277*(Inputs!$B$5/100))</f>
        <v/>
      </c>
      <c r="E277" s="64" t="str">
        <f>IF($A277="","",IFERROR(IF(OR(Inputs!$B$8&lt;=0,Inputs!$B$8=""),0,IF(AND($A277&gt;=Inputs!$B$8,MOD($A277,Inputs!$B$8)=0),Inputs!$B$7*(1+Inputs!$B$6/100)^$A277,0)),0))</f>
        <v/>
      </c>
      <c r="F277" s="44" t="str">
        <f t="shared" si="34"/>
        <v/>
      </c>
      <c r="G277" s="44">
        <f t="shared" si="35"/>
        <v>0</v>
      </c>
      <c r="H277" s="44"/>
      <c r="I277" s="44"/>
      <c r="J277" s="44"/>
      <c r="K277" s="44"/>
      <c r="L277" s="44"/>
      <c r="M277" s="44"/>
      <c r="N277" s="44"/>
      <c r="O277" s="44"/>
      <c r="P277" s="44"/>
      <c r="Q277" s="44"/>
      <c r="R277" s="44"/>
      <c r="S277" s="44"/>
      <c r="T277" s="44"/>
      <c r="U277" s="44"/>
      <c r="V277" s="44"/>
      <c r="W277" s="44"/>
      <c r="X277" s="44"/>
      <c r="Y277" s="44"/>
      <c r="Z277" s="44"/>
      <c r="AA277" s="44"/>
      <c r="AB277" s="44"/>
      <c r="AC277" s="44"/>
    </row>
    <row r="278" spans="1:29" ht="15" customHeight="1" x14ac:dyDescent="0.25">
      <c r="A278" s="1" t="str">
        <f>IF(72&lt;=Inputs!$B$3,72,"")</f>
        <v/>
      </c>
      <c r="B278" s="1" t="str">
        <f t="shared" si="36"/>
        <v/>
      </c>
      <c r="C278" s="44" t="str">
        <f>IF($A278="","",Inputs!$B$4*12*(1+Inputs!$B$10/100)^($A278-1))</f>
        <v/>
      </c>
      <c r="D278" s="44" t="str">
        <f>IF($A278="","",B278*(Inputs!$B$5/100))</f>
        <v/>
      </c>
      <c r="E278" s="64" t="str">
        <f>IF($A278="","",IFERROR(IF(OR(Inputs!$B$8&lt;=0,Inputs!$B$8=""),0,IF(AND($A278&gt;=Inputs!$B$8,MOD($A278,Inputs!$B$8)=0),Inputs!$B$7*(1+Inputs!$B$6/100)^$A278,0)),0))</f>
        <v/>
      </c>
      <c r="F278" s="44" t="str">
        <f t="shared" si="34"/>
        <v/>
      </c>
      <c r="G278" s="44">
        <f t="shared" si="35"/>
        <v>0</v>
      </c>
      <c r="H278" s="44"/>
      <c r="I278" s="44"/>
      <c r="J278" s="44"/>
      <c r="K278" s="44"/>
      <c r="L278" s="44"/>
      <c r="M278" s="44"/>
      <c r="N278" s="44"/>
      <c r="O278" s="44"/>
      <c r="P278" s="44"/>
      <c r="Q278" s="44"/>
      <c r="R278" s="44"/>
      <c r="S278" s="44"/>
      <c r="T278" s="44"/>
      <c r="U278" s="44"/>
      <c r="V278" s="44"/>
      <c r="W278" s="44"/>
      <c r="X278" s="44"/>
      <c r="Y278" s="44"/>
      <c r="Z278" s="44"/>
      <c r="AA278" s="44"/>
      <c r="AB278" s="44"/>
      <c r="AC278" s="44"/>
    </row>
    <row r="279" spans="1:29" ht="15" customHeight="1" x14ac:dyDescent="0.25">
      <c r="A279" s="1" t="str">
        <f>IF(73&lt;=Inputs!$B$3,73,"")</f>
        <v/>
      </c>
      <c r="B279" s="1" t="str">
        <f t="shared" si="36"/>
        <v/>
      </c>
      <c r="C279" s="44" t="str">
        <f>IF($A279="","",Inputs!$B$4*12*(1+Inputs!$B$10/100)^($A279-1))</f>
        <v/>
      </c>
      <c r="D279" s="44" t="str">
        <f>IF($A279="","",B279*(Inputs!$B$5/100))</f>
        <v/>
      </c>
      <c r="E279" s="64" t="str">
        <f>IF($A279="","",IFERROR(IF(OR(Inputs!$B$8&lt;=0,Inputs!$B$8=""),0,IF(AND($A279&gt;=Inputs!$B$8,MOD($A279,Inputs!$B$8)=0),Inputs!$B$7*(1+Inputs!$B$6/100)^$A279,0)),0))</f>
        <v/>
      </c>
      <c r="F279" s="44" t="str">
        <f t="shared" si="34"/>
        <v/>
      </c>
      <c r="G279" s="44">
        <f t="shared" si="35"/>
        <v>0</v>
      </c>
      <c r="H279" s="44"/>
      <c r="I279" s="44"/>
      <c r="J279" s="44"/>
      <c r="K279" s="44"/>
      <c r="L279" s="44"/>
      <c r="M279" s="44"/>
      <c r="N279" s="44"/>
      <c r="O279" s="44"/>
      <c r="P279" s="44"/>
      <c r="Q279" s="44"/>
      <c r="R279" s="44"/>
      <c r="S279" s="44"/>
      <c r="T279" s="44"/>
      <c r="U279" s="44"/>
      <c r="V279" s="44"/>
      <c r="W279" s="44"/>
      <c r="X279" s="44"/>
      <c r="Y279" s="44"/>
      <c r="Z279" s="44"/>
      <c r="AA279" s="44"/>
      <c r="AB279" s="44"/>
      <c r="AC279" s="44"/>
    </row>
    <row r="280" spans="1:29" ht="15" customHeight="1" x14ac:dyDescent="0.25">
      <c r="A280" s="1" t="str">
        <f>IF(74&lt;=Inputs!$B$3,74,"")</f>
        <v/>
      </c>
      <c r="B280" s="1" t="str">
        <f t="shared" si="36"/>
        <v/>
      </c>
      <c r="C280" s="44" t="str">
        <f>IF($A280="","",Inputs!$B$4*12*(1+Inputs!$B$10/100)^($A280-1))</f>
        <v/>
      </c>
      <c r="D280" s="44" t="str">
        <f>IF($A280="","",B280*(Inputs!$B$5/100))</f>
        <v/>
      </c>
      <c r="E280" s="64" t="str">
        <f>IF($A280="","",IFERROR(IF(OR(Inputs!$B$8&lt;=0,Inputs!$B$8=""),0,IF(AND($A280&gt;=Inputs!$B$8,MOD($A280,Inputs!$B$8)=0),Inputs!$B$7*(1+Inputs!$B$6/100)^$A280,0)),0))</f>
        <v/>
      </c>
      <c r="F280" s="44" t="str">
        <f t="shared" si="34"/>
        <v/>
      </c>
      <c r="G280" s="44">
        <f t="shared" si="35"/>
        <v>0</v>
      </c>
      <c r="H280" s="44"/>
      <c r="I280" s="44"/>
      <c r="J280" s="44"/>
      <c r="K280" s="44"/>
      <c r="L280" s="44"/>
      <c r="M280" s="44"/>
      <c r="N280" s="44"/>
      <c r="O280" s="44"/>
      <c r="P280" s="44"/>
      <c r="Q280" s="44"/>
      <c r="R280" s="44"/>
      <c r="S280" s="44"/>
      <c r="T280" s="44"/>
      <c r="U280" s="44"/>
      <c r="V280" s="44"/>
      <c r="W280" s="44"/>
      <c r="X280" s="44"/>
      <c r="Y280" s="44"/>
      <c r="Z280" s="44"/>
      <c r="AA280" s="44"/>
      <c r="AB280" s="44"/>
      <c r="AC280" s="44"/>
    </row>
    <row r="281" spans="1:29" ht="15" customHeight="1" x14ac:dyDescent="0.25">
      <c r="A281" s="1" t="str">
        <f>IF(75&lt;=Inputs!$B$3,75,"")</f>
        <v/>
      </c>
      <c r="B281" s="1" t="str">
        <f t="shared" si="36"/>
        <v/>
      </c>
      <c r="C281" s="44" t="str">
        <f>IF($A281="","",Inputs!$B$4*12*(1+Inputs!$B$10/100)^($A281-1))</f>
        <v/>
      </c>
      <c r="D281" s="44" t="str">
        <f>IF($A281="","",B281*(Inputs!$B$5/100))</f>
        <v/>
      </c>
      <c r="E281" s="64" t="str">
        <f>IF($A281="","",IFERROR(IF(OR(Inputs!$B$8&lt;=0,Inputs!$B$8=""),0,IF(AND($A281&gt;=Inputs!$B$8,MOD($A281,Inputs!$B$8)=0),Inputs!$B$7*(1+Inputs!$B$6/100)^$A281,0)),0))</f>
        <v/>
      </c>
      <c r="F281" s="44" t="str">
        <f t="shared" si="34"/>
        <v/>
      </c>
      <c r="G281" s="44">
        <f t="shared" si="35"/>
        <v>0</v>
      </c>
      <c r="H281" s="44"/>
      <c r="I281" s="44"/>
      <c r="J281" s="44"/>
      <c r="K281" s="44"/>
      <c r="L281" s="44"/>
      <c r="M281" s="44"/>
      <c r="N281" s="44"/>
      <c r="O281" s="44"/>
      <c r="P281" s="44"/>
      <c r="Q281" s="44"/>
      <c r="R281" s="44"/>
      <c r="S281" s="44"/>
      <c r="T281" s="44"/>
      <c r="U281" s="44"/>
      <c r="V281" s="44"/>
      <c r="W281" s="44"/>
      <c r="X281" s="44"/>
      <c r="Y281" s="44"/>
      <c r="Z281" s="44"/>
      <c r="AA281" s="44"/>
      <c r="AB281" s="44"/>
      <c r="AC281" s="44"/>
    </row>
    <row r="282" spans="1:29" ht="15" customHeight="1" x14ac:dyDescent="0.25">
      <c r="A282" s="1" t="str">
        <f>IF(76&lt;=Inputs!$B$3,76,"")</f>
        <v/>
      </c>
      <c r="B282" s="1" t="str">
        <f t="shared" si="36"/>
        <v/>
      </c>
      <c r="C282" s="44" t="str">
        <f>IF($A282="","",Inputs!$B$4*12*(1+Inputs!$B$10/100)^($A282-1))</f>
        <v/>
      </c>
      <c r="D282" s="44" t="str">
        <f>IF($A282="","",B282*(Inputs!$B$5/100))</f>
        <v/>
      </c>
      <c r="E282" s="64" t="str">
        <f>IF($A282="","",IFERROR(IF(OR(Inputs!$B$8&lt;=0,Inputs!$B$8=""),0,IF(AND($A282&gt;=Inputs!$B$8,MOD($A282,Inputs!$B$8)=0),Inputs!$B$7*(1+Inputs!$B$6/100)^$A282,0)),0))</f>
        <v/>
      </c>
      <c r="F282" s="44" t="str">
        <f t="shared" si="34"/>
        <v/>
      </c>
      <c r="G282" s="44">
        <f t="shared" si="35"/>
        <v>0</v>
      </c>
      <c r="H282" s="44"/>
      <c r="I282" s="44"/>
      <c r="J282" s="44"/>
      <c r="K282" s="44"/>
      <c r="L282" s="44"/>
      <c r="M282" s="44"/>
      <c r="N282" s="44"/>
      <c r="O282" s="44"/>
      <c r="P282" s="44"/>
      <c r="Q282" s="44"/>
      <c r="R282" s="44"/>
      <c r="S282" s="44"/>
      <c r="T282" s="44"/>
      <c r="U282" s="44"/>
      <c r="V282" s="44"/>
      <c r="W282" s="44"/>
      <c r="X282" s="44"/>
      <c r="Y282" s="44"/>
      <c r="Z282" s="44"/>
      <c r="AA282" s="44"/>
      <c r="AB282" s="44"/>
      <c r="AC282" s="44"/>
    </row>
    <row r="283" spans="1:29" ht="15" customHeight="1" x14ac:dyDescent="0.25">
      <c r="A283" s="1" t="str">
        <f>IF(77&lt;=Inputs!$B$3,77,"")</f>
        <v/>
      </c>
      <c r="B283" s="1" t="str">
        <f t="shared" si="36"/>
        <v/>
      </c>
      <c r="C283" s="44" t="str">
        <f>IF($A283="","",Inputs!$B$4*12*(1+Inputs!$B$10/100)^($A283-1))</f>
        <v/>
      </c>
      <c r="D283" s="44" t="str">
        <f>IF($A283="","",B283*(Inputs!$B$5/100))</f>
        <v/>
      </c>
      <c r="E283" s="64" t="str">
        <f>IF($A283="","",IFERROR(IF(OR(Inputs!$B$8&lt;=0,Inputs!$B$8=""),0,IF(AND($A283&gt;=Inputs!$B$8,MOD($A283,Inputs!$B$8)=0),Inputs!$B$7*(1+Inputs!$B$6/100)^$A283,0)),0))</f>
        <v/>
      </c>
      <c r="F283" s="44" t="str">
        <f t="shared" si="34"/>
        <v/>
      </c>
      <c r="G283" s="44">
        <f t="shared" si="35"/>
        <v>0</v>
      </c>
      <c r="H283" s="44"/>
      <c r="I283" s="44"/>
      <c r="J283" s="44"/>
      <c r="K283" s="44"/>
      <c r="L283" s="44"/>
      <c r="M283" s="44"/>
      <c r="N283" s="44"/>
      <c r="O283" s="44"/>
      <c r="P283" s="44"/>
      <c r="Q283" s="44"/>
      <c r="R283" s="44"/>
      <c r="S283" s="44"/>
      <c r="T283" s="44"/>
      <c r="U283" s="44"/>
      <c r="V283" s="44"/>
      <c r="W283" s="44"/>
      <c r="X283" s="44"/>
      <c r="Y283" s="44"/>
      <c r="Z283" s="44"/>
      <c r="AA283" s="44"/>
      <c r="AB283" s="44"/>
      <c r="AC283" s="44"/>
    </row>
    <row r="284" spans="1:29" ht="15" customHeight="1" x14ac:dyDescent="0.25">
      <c r="A284" s="1" t="str">
        <f>IF(78&lt;=Inputs!$B$3,78,"")</f>
        <v/>
      </c>
      <c r="B284" s="1" t="str">
        <f t="shared" si="36"/>
        <v/>
      </c>
      <c r="C284" s="44" t="str">
        <f>IF($A284="","",Inputs!$B$4*12*(1+Inputs!$B$10/100)^($A284-1))</f>
        <v/>
      </c>
      <c r="D284" s="44" t="str">
        <f>IF($A284="","",B284*(Inputs!$B$5/100))</f>
        <v/>
      </c>
      <c r="E284" s="64" t="str">
        <f>IF($A284="","",IFERROR(IF(OR(Inputs!$B$8&lt;=0,Inputs!$B$8=""),0,IF(AND($A284&gt;=Inputs!$B$8,MOD($A284,Inputs!$B$8)=0),Inputs!$B$7*(1+Inputs!$B$6/100)^$A284,0)),0))</f>
        <v/>
      </c>
      <c r="F284" s="44" t="str">
        <f t="shared" si="34"/>
        <v/>
      </c>
      <c r="G284" s="44">
        <f t="shared" si="35"/>
        <v>0</v>
      </c>
      <c r="H284" s="44"/>
      <c r="I284" s="44"/>
      <c r="J284" s="44"/>
      <c r="K284" s="44"/>
      <c r="L284" s="44"/>
      <c r="M284" s="44"/>
      <c r="N284" s="44"/>
      <c r="O284" s="44"/>
      <c r="P284" s="44"/>
      <c r="Q284" s="44"/>
      <c r="R284" s="44"/>
      <c r="S284" s="44"/>
      <c r="T284" s="44"/>
      <c r="U284" s="44"/>
      <c r="V284" s="44"/>
      <c r="W284" s="44"/>
      <c r="X284" s="44"/>
      <c r="Y284" s="44"/>
      <c r="Z284" s="44"/>
      <c r="AA284" s="44"/>
      <c r="AB284" s="44"/>
      <c r="AC284" s="44"/>
    </row>
    <row r="285" spans="1:29" ht="15" customHeight="1" x14ac:dyDescent="0.25">
      <c r="A285" s="1" t="str">
        <f>IF(79&lt;=Inputs!$B$3,79,"")</f>
        <v/>
      </c>
      <c r="B285" s="1" t="str">
        <f t="shared" si="36"/>
        <v/>
      </c>
      <c r="C285" s="44" t="str">
        <f>IF($A285="","",Inputs!$B$4*12*(1+Inputs!$B$10/100)^($A285-1))</f>
        <v/>
      </c>
      <c r="D285" s="44" t="str">
        <f>IF($A285="","",B285*(Inputs!$B$5/100))</f>
        <v/>
      </c>
      <c r="E285" s="64" t="str">
        <f>IF($A285="","",IFERROR(IF(OR(Inputs!$B$8&lt;=0,Inputs!$B$8=""),0,IF(AND($A285&gt;=Inputs!$B$8,MOD($A285,Inputs!$B$8)=0),Inputs!$B$7*(1+Inputs!$B$6/100)^$A285,0)),0))</f>
        <v/>
      </c>
      <c r="F285" s="44" t="str">
        <f t="shared" si="34"/>
        <v/>
      </c>
      <c r="G285" s="44">
        <f t="shared" si="35"/>
        <v>0</v>
      </c>
      <c r="H285" s="44"/>
      <c r="I285" s="44"/>
      <c r="J285" s="44"/>
      <c r="K285" s="44"/>
      <c r="L285" s="44"/>
      <c r="M285" s="44"/>
      <c r="N285" s="44"/>
      <c r="O285" s="44"/>
      <c r="P285" s="44"/>
      <c r="Q285" s="44"/>
      <c r="R285" s="44"/>
      <c r="S285" s="44"/>
      <c r="T285" s="44"/>
      <c r="U285" s="44"/>
      <c r="V285" s="44"/>
      <c r="W285" s="44"/>
      <c r="X285" s="44"/>
      <c r="Y285" s="44"/>
      <c r="Z285" s="44"/>
      <c r="AA285" s="44"/>
      <c r="AB285" s="44"/>
      <c r="AC285" s="44"/>
    </row>
    <row r="286" spans="1:29" ht="15" customHeight="1" x14ac:dyDescent="0.25">
      <c r="A286" s="1" t="str">
        <f>IF(80&lt;=Inputs!$B$3,80,"")</f>
        <v/>
      </c>
      <c r="B286" s="1" t="str">
        <f t="shared" si="36"/>
        <v/>
      </c>
      <c r="C286" s="44" t="str">
        <f>IF($A286="","",Inputs!$B$4*12*(1+Inputs!$B$10/100)^($A286-1))</f>
        <v/>
      </c>
      <c r="D286" s="44" t="str">
        <f>IF($A286="","",B286*(Inputs!$B$5/100))</f>
        <v/>
      </c>
      <c r="E286" s="64" t="str">
        <f>IF($A286="","",IFERROR(IF(OR(Inputs!$B$8&lt;=0,Inputs!$B$8=""),0,IF(AND($A286&gt;=Inputs!$B$8,MOD($A286,Inputs!$B$8)=0),Inputs!$B$7*(1+Inputs!$B$6/100)^$A286,0)),0))</f>
        <v/>
      </c>
      <c r="F286" s="44" t="str">
        <f t="shared" si="34"/>
        <v/>
      </c>
      <c r="G286" s="44">
        <f t="shared" si="35"/>
        <v>0</v>
      </c>
      <c r="H286" s="44"/>
      <c r="I286" s="44"/>
      <c r="J286" s="44"/>
      <c r="K286" s="44"/>
      <c r="L286" s="44"/>
      <c r="M286" s="44"/>
      <c r="N286" s="44"/>
      <c r="O286" s="44"/>
      <c r="P286" s="44"/>
      <c r="Q286" s="44"/>
      <c r="R286" s="44"/>
      <c r="S286" s="44"/>
      <c r="T286" s="44"/>
      <c r="U286" s="44"/>
      <c r="V286" s="44"/>
      <c r="W286" s="44"/>
      <c r="X286" s="44"/>
      <c r="Y286" s="44"/>
      <c r="Z286" s="44"/>
      <c r="AA286" s="44"/>
      <c r="AB286" s="44"/>
      <c r="AC286" s="44"/>
    </row>
    <row r="287" spans="1:29" ht="15" customHeight="1" x14ac:dyDescent="0.25">
      <c r="A287" s="1" t="str">
        <f>IF(81&lt;=Inputs!$B$3,81,"")</f>
        <v/>
      </c>
      <c r="B287" s="1" t="str">
        <f t="shared" si="36"/>
        <v/>
      </c>
      <c r="C287" s="44" t="str">
        <f>IF($A287="","",Inputs!$B$4*12*(1+Inputs!$B$10/100)^($A287-1))</f>
        <v/>
      </c>
      <c r="D287" s="44" t="str">
        <f>IF($A287="","",B287*(Inputs!$B$5/100))</f>
        <v/>
      </c>
      <c r="E287" s="64" t="str">
        <f>IF($A287="","",IFERROR(IF(OR(Inputs!$B$8&lt;=0,Inputs!$B$8=""),0,IF(AND($A287&gt;=Inputs!$B$8,MOD($A287,Inputs!$B$8)=0),Inputs!$B$7*(1+Inputs!$B$6/100)^$A287,0)),0))</f>
        <v/>
      </c>
      <c r="F287" s="44" t="str">
        <f t="shared" si="34"/>
        <v/>
      </c>
      <c r="G287" s="44">
        <f t="shared" si="35"/>
        <v>0</v>
      </c>
      <c r="H287" s="44"/>
      <c r="I287" s="44"/>
      <c r="J287" s="44"/>
      <c r="K287" s="44"/>
      <c r="L287" s="44"/>
      <c r="M287" s="44"/>
      <c r="N287" s="44"/>
      <c r="O287" s="44"/>
      <c r="P287" s="44"/>
      <c r="Q287" s="44"/>
      <c r="R287" s="44"/>
      <c r="S287" s="44"/>
      <c r="T287" s="44"/>
      <c r="U287" s="44"/>
      <c r="V287" s="44"/>
      <c r="W287" s="44"/>
      <c r="X287" s="44"/>
      <c r="Y287" s="44"/>
      <c r="Z287" s="44"/>
      <c r="AA287" s="44"/>
      <c r="AB287" s="44"/>
      <c r="AC287" s="44"/>
    </row>
    <row r="288" spans="1:29" ht="15" customHeight="1" x14ac:dyDescent="0.25">
      <c r="A288" s="1" t="str">
        <f>IF(82&lt;=Inputs!$B$3,82,"")</f>
        <v/>
      </c>
      <c r="B288" s="1" t="str">
        <f t="shared" si="36"/>
        <v/>
      </c>
      <c r="C288" s="44" t="str">
        <f>IF($A288="","",Inputs!$B$4*12*(1+Inputs!$B$10/100)^($A288-1))</f>
        <v/>
      </c>
      <c r="D288" s="44" t="str">
        <f>IF($A288="","",B288*(Inputs!$B$5/100))</f>
        <v/>
      </c>
      <c r="E288" s="64" t="str">
        <f>IF($A288="","",IFERROR(IF(OR(Inputs!$B$8&lt;=0,Inputs!$B$8=""),0,IF(AND($A288&gt;=Inputs!$B$8,MOD($A288,Inputs!$B$8)=0),Inputs!$B$7*(1+Inputs!$B$6/100)^$A288,0)),0))</f>
        <v/>
      </c>
      <c r="F288" s="44" t="str">
        <f t="shared" si="34"/>
        <v/>
      </c>
      <c r="G288" s="44">
        <f t="shared" si="35"/>
        <v>0</v>
      </c>
      <c r="H288" s="44"/>
      <c r="I288" s="44"/>
      <c r="J288" s="44"/>
      <c r="K288" s="44"/>
      <c r="L288" s="44"/>
      <c r="M288" s="44"/>
      <c r="N288" s="44"/>
      <c r="O288" s="44"/>
      <c r="P288" s="44"/>
      <c r="Q288" s="44"/>
      <c r="R288" s="44"/>
      <c r="S288" s="44"/>
      <c r="T288" s="44"/>
      <c r="U288" s="44"/>
      <c r="V288" s="44"/>
      <c r="W288" s="44"/>
      <c r="X288" s="44"/>
      <c r="Y288" s="44"/>
      <c r="Z288" s="44"/>
      <c r="AA288" s="44"/>
      <c r="AB288" s="44"/>
      <c r="AC288" s="44"/>
    </row>
    <row r="289" spans="1:29" ht="15" customHeight="1" x14ac:dyDescent="0.25">
      <c r="A289" s="1" t="str">
        <f>IF(83&lt;=Inputs!$B$3,83,"")</f>
        <v/>
      </c>
      <c r="B289" s="1" t="str">
        <f t="shared" si="36"/>
        <v/>
      </c>
      <c r="C289" s="44" t="str">
        <f>IF($A289="","",Inputs!$B$4*12*(1+Inputs!$B$10/100)^($A289-1))</f>
        <v/>
      </c>
      <c r="D289" s="44" t="str">
        <f>IF($A289="","",B289*(Inputs!$B$5/100))</f>
        <v/>
      </c>
      <c r="E289" s="64" t="str">
        <f>IF($A289="","",IFERROR(IF(OR(Inputs!$B$8&lt;=0,Inputs!$B$8=""),0,IF(AND($A289&gt;=Inputs!$B$8,MOD($A289,Inputs!$B$8)=0),Inputs!$B$7*(1+Inputs!$B$6/100)^$A289,0)),0))</f>
        <v/>
      </c>
      <c r="F289" s="44" t="str">
        <f t="shared" si="34"/>
        <v/>
      </c>
      <c r="G289" s="44">
        <f t="shared" si="35"/>
        <v>0</v>
      </c>
      <c r="H289" s="44"/>
      <c r="I289" s="44"/>
      <c r="J289" s="44"/>
      <c r="K289" s="44"/>
      <c r="L289" s="44"/>
      <c r="M289" s="44"/>
      <c r="N289" s="44"/>
      <c r="O289" s="44"/>
      <c r="P289" s="44"/>
      <c r="Q289" s="44"/>
      <c r="R289" s="44"/>
      <c r="S289" s="44"/>
      <c r="T289" s="44"/>
      <c r="U289" s="44"/>
      <c r="V289" s="44"/>
      <c r="W289" s="44"/>
      <c r="X289" s="44"/>
      <c r="Y289" s="44"/>
      <c r="Z289" s="44"/>
      <c r="AA289" s="44"/>
      <c r="AB289" s="44"/>
      <c r="AC289" s="44"/>
    </row>
    <row r="290" spans="1:29" ht="15" customHeight="1" x14ac:dyDescent="0.25">
      <c r="A290" s="1" t="str">
        <f>IF(84&lt;=Inputs!$B$3,84,"")</f>
        <v/>
      </c>
      <c r="B290" s="1" t="str">
        <f t="shared" si="36"/>
        <v/>
      </c>
      <c r="C290" s="44" t="str">
        <f>IF($A290="","",Inputs!$B$4*12*(1+Inputs!$B$10/100)^($A290-1))</f>
        <v/>
      </c>
      <c r="D290" s="44" t="str">
        <f>IF($A290="","",B290*(Inputs!$B$5/100))</f>
        <v/>
      </c>
      <c r="E290" s="64" t="str">
        <f>IF($A290="","",IFERROR(IF(OR(Inputs!$B$8&lt;=0,Inputs!$B$8=""),0,IF(AND($A290&gt;=Inputs!$B$8,MOD($A290,Inputs!$B$8)=0),Inputs!$B$7*(1+Inputs!$B$6/100)^$A290,0)),0))</f>
        <v/>
      </c>
      <c r="F290" s="44" t="str">
        <f t="shared" si="34"/>
        <v/>
      </c>
      <c r="G290" s="44">
        <f t="shared" si="35"/>
        <v>0</v>
      </c>
      <c r="H290" s="44"/>
      <c r="I290" s="44"/>
      <c r="J290" s="44"/>
      <c r="K290" s="44"/>
      <c r="L290" s="44"/>
      <c r="M290" s="44"/>
      <c r="N290" s="44"/>
      <c r="O290" s="44"/>
      <c r="P290" s="44"/>
      <c r="Q290" s="44"/>
      <c r="R290" s="44"/>
      <c r="S290" s="44"/>
      <c r="T290" s="44"/>
      <c r="U290" s="44"/>
      <c r="V290" s="44"/>
      <c r="W290" s="44"/>
      <c r="X290" s="44"/>
      <c r="Y290" s="44"/>
      <c r="Z290" s="44"/>
      <c r="AA290" s="44"/>
      <c r="AB290" s="44"/>
      <c r="AC290" s="44"/>
    </row>
    <row r="291" spans="1:29" ht="15" customHeight="1" x14ac:dyDescent="0.25">
      <c r="A291" s="1" t="str">
        <f>IF(85&lt;=Inputs!$B$3,85,"")</f>
        <v/>
      </c>
      <c r="B291" s="1" t="str">
        <f t="shared" si="36"/>
        <v/>
      </c>
      <c r="C291" s="44" t="str">
        <f>IF($A291="","",Inputs!$B$4*12*(1+Inputs!$B$10/100)^($A291-1))</f>
        <v/>
      </c>
      <c r="D291" s="44" t="str">
        <f>IF($A291="","",B291*(Inputs!$B$5/100))</f>
        <v/>
      </c>
      <c r="E291" s="64" t="str">
        <f>IF($A291="","",IFERROR(IF(OR(Inputs!$B$8&lt;=0,Inputs!$B$8=""),0,IF(AND($A291&gt;=Inputs!$B$8,MOD($A291,Inputs!$B$8)=0),Inputs!$B$7*(1+Inputs!$B$6/100)^$A291,0)),0))</f>
        <v/>
      </c>
      <c r="F291" s="44" t="str">
        <f t="shared" si="34"/>
        <v/>
      </c>
      <c r="G291" s="44">
        <f t="shared" si="35"/>
        <v>0</v>
      </c>
      <c r="H291" s="44"/>
      <c r="I291" s="44"/>
      <c r="J291" s="44"/>
      <c r="K291" s="44"/>
      <c r="L291" s="44"/>
      <c r="M291" s="44"/>
      <c r="N291" s="44"/>
      <c r="O291" s="44"/>
      <c r="P291" s="44"/>
      <c r="Q291" s="44"/>
      <c r="R291" s="44"/>
      <c r="S291" s="44"/>
      <c r="T291" s="44"/>
      <c r="U291" s="44"/>
      <c r="V291" s="44"/>
      <c r="W291" s="44"/>
      <c r="X291" s="44"/>
      <c r="Y291" s="44"/>
      <c r="Z291" s="44"/>
      <c r="AA291" s="44"/>
      <c r="AB291" s="44"/>
      <c r="AC291" s="44"/>
    </row>
    <row r="292" spans="1:29" ht="15" customHeight="1" x14ac:dyDescent="0.25">
      <c r="A292" s="1" t="str">
        <f>IF(86&lt;=Inputs!$B$3,86,"")</f>
        <v/>
      </c>
      <c r="B292" s="1" t="str">
        <f t="shared" si="36"/>
        <v/>
      </c>
      <c r="C292" s="44" t="str">
        <f>IF($A292="","",Inputs!$B$4*12*(1+Inputs!$B$10/100)^($A292-1))</f>
        <v/>
      </c>
      <c r="D292" s="44" t="str">
        <f>IF($A292="","",B292*(Inputs!$B$5/100))</f>
        <v/>
      </c>
      <c r="E292" s="64" t="str">
        <f>IF($A292="","",IFERROR(IF(OR(Inputs!$B$8&lt;=0,Inputs!$B$8=""),0,IF(AND($A292&gt;=Inputs!$B$8,MOD($A292,Inputs!$B$8)=0),Inputs!$B$7*(1+Inputs!$B$6/100)^$A292,0)),0))</f>
        <v/>
      </c>
      <c r="F292" s="44" t="str">
        <f t="shared" si="34"/>
        <v/>
      </c>
      <c r="G292" s="44">
        <f t="shared" si="35"/>
        <v>0</v>
      </c>
      <c r="H292" s="44"/>
      <c r="I292" s="44"/>
      <c r="J292" s="44"/>
      <c r="K292" s="44"/>
      <c r="L292" s="44"/>
      <c r="M292" s="44"/>
      <c r="N292" s="44"/>
      <c r="O292" s="44"/>
      <c r="P292" s="44"/>
      <c r="Q292" s="44"/>
      <c r="R292" s="44"/>
      <c r="S292" s="44"/>
      <c r="T292" s="44"/>
      <c r="U292" s="44"/>
      <c r="V292" s="44"/>
      <c r="W292" s="44"/>
      <c r="X292" s="44"/>
      <c r="Y292" s="44"/>
      <c r="Z292" s="44"/>
      <c r="AA292" s="44"/>
      <c r="AB292" s="44"/>
      <c r="AC292" s="44"/>
    </row>
    <row r="293" spans="1:29" ht="15" customHeight="1" x14ac:dyDescent="0.25">
      <c r="A293" s="1" t="str">
        <f>IF(87&lt;=Inputs!$B$3,87,"")</f>
        <v/>
      </c>
      <c r="B293" s="1" t="str">
        <f t="shared" si="36"/>
        <v/>
      </c>
      <c r="C293" s="44" t="str">
        <f>IF($A293="","",Inputs!$B$4*12*(1+Inputs!$B$10/100)^($A293-1))</f>
        <v/>
      </c>
      <c r="D293" s="44" t="str">
        <f>IF($A293="","",B293*(Inputs!$B$5/100))</f>
        <v/>
      </c>
      <c r="E293" s="64" t="str">
        <f>IF($A293="","",IFERROR(IF(OR(Inputs!$B$8&lt;=0,Inputs!$B$8=""),0,IF(AND($A293&gt;=Inputs!$B$8,MOD($A293,Inputs!$B$8)=0),Inputs!$B$7*(1+Inputs!$B$6/100)^$A293,0)),0))</f>
        <v/>
      </c>
      <c r="F293" s="44" t="str">
        <f t="shared" si="34"/>
        <v/>
      </c>
      <c r="G293" s="44">
        <f t="shared" si="35"/>
        <v>0</v>
      </c>
      <c r="H293" s="44"/>
      <c r="I293" s="44"/>
      <c r="J293" s="44"/>
      <c r="K293" s="44"/>
      <c r="L293" s="44"/>
      <c r="M293" s="44"/>
      <c r="N293" s="44"/>
      <c r="O293" s="44"/>
      <c r="P293" s="44"/>
      <c r="Q293" s="44"/>
      <c r="R293" s="44"/>
      <c r="S293" s="44"/>
      <c r="T293" s="44"/>
      <c r="U293" s="44"/>
      <c r="V293" s="44"/>
      <c r="W293" s="44"/>
      <c r="X293" s="44"/>
      <c r="Y293" s="44"/>
      <c r="Z293" s="44"/>
      <c r="AA293" s="44"/>
      <c r="AB293" s="44"/>
      <c r="AC293" s="44"/>
    </row>
    <row r="294" spans="1:29" ht="15" customHeight="1" x14ac:dyDescent="0.25">
      <c r="A294" s="1" t="str">
        <f>IF(88&lt;=Inputs!$B$3,88,"")</f>
        <v/>
      </c>
      <c r="B294" s="1" t="str">
        <f t="shared" si="36"/>
        <v/>
      </c>
      <c r="C294" s="44" t="str">
        <f>IF($A294="","",Inputs!$B$4*12*(1+Inputs!$B$10/100)^($A294-1))</f>
        <v/>
      </c>
      <c r="D294" s="44" t="str">
        <f>IF($A294="","",B294*(Inputs!$B$5/100))</f>
        <v/>
      </c>
      <c r="E294" s="64" t="str">
        <f>IF($A294="","",IFERROR(IF(OR(Inputs!$B$8&lt;=0,Inputs!$B$8=""),0,IF(AND($A294&gt;=Inputs!$B$8,MOD($A294,Inputs!$B$8)=0),Inputs!$B$7*(1+Inputs!$B$6/100)^$A294,0)),0))</f>
        <v/>
      </c>
      <c r="F294" s="44" t="str">
        <f t="shared" si="34"/>
        <v/>
      </c>
      <c r="G294" s="44">
        <f t="shared" si="35"/>
        <v>0</v>
      </c>
      <c r="H294" s="44"/>
      <c r="I294" s="44"/>
      <c r="J294" s="44"/>
      <c r="K294" s="44"/>
      <c r="L294" s="44"/>
      <c r="M294" s="44"/>
      <c r="N294" s="44"/>
      <c r="O294" s="44"/>
      <c r="P294" s="44"/>
      <c r="Q294" s="44"/>
      <c r="R294" s="44"/>
      <c r="S294" s="44"/>
      <c r="T294" s="44"/>
      <c r="U294" s="44"/>
      <c r="V294" s="44"/>
      <c r="W294" s="44"/>
      <c r="X294" s="44"/>
      <c r="Y294" s="44"/>
      <c r="Z294" s="44"/>
      <c r="AA294" s="44"/>
      <c r="AB294" s="44"/>
      <c r="AC294" s="44"/>
    </row>
    <row r="295" spans="1:29" ht="15" customHeight="1" x14ac:dyDescent="0.25">
      <c r="A295" s="1" t="str">
        <f>IF(89&lt;=Inputs!$B$3,89,"")</f>
        <v/>
      </c>
      <c r="B295" s="1" t="str">
        <f t="shared" si="36"/>
        <v/>
      </c>
      <c r="C295" s="44" t="str">
        <f>IF($A295="","",Inputs!$B$4*12*(1+Inputs!$B$10/100)^($A295-1))</f>
        <v/>
      </c>
      <c r="D295" s="44" t="str">
        <f>IF($A295="","",B295*(Inputs!$B$5/100))</f>
        <v/>
      </c>
      <c r="E295" s="64" t="str">
        <f>IF($A295="","",IFERROR(IF(OR(Inputs!$B$8&lt;=0,Inputs!$B$8=""),0,IF(AND($A295&gt;=Inputs!$B$8,MOD($A295,Inputs!$B$8)=0),Inputs!$B$7*(1+Inputs!$B$6/100)^$A295,0)),0))</f>
        <v/>
      </c>
      <c r="F295" s="44" t="str">
        <f t="shared" si="34"/>
        <v/>
      </c>
      <c r="G295" s="44">
        <f t="shared" si="35"/>
        <v>0</v>
      </c>
      <c r="H295" s="44"/>
      <c r="I295" s="44"/>
      <c r="J295" s="44"/>
      <c r="K295" s="44"/>
      <c r="L295" s="44"/>
      <c r="M295" s="44"/>
      <c r="N295" s="44"/>
      <c r="O295" s="44"/>
      <c r="P295" s="44"/>
      <c r="Q295" s="44"/>
      <c r="R295" s="44"/>
      <c r="S295" s="44"/>
      <c r="T295" s="44"/>
      <c r="U295" s="44"/>
      <c r="V295" s="44"/>
      <c r="W295" s="44"/>
      <c r="X295" s="44"/>
      <c r="Y295" s="44"/>
      <c r="Z295" s="44"/>
      <c r="AA295" s="44"/>
      <c r="AB295" s="44"/>
      <c r="AC295" s="44"/>
    </row>
    <row r="296" spans="1:29" ht="15" customHeight="1" x14ac:dyDescent="0.25">
      <c r="A296" s="1" t="str">
        <f>IF(90&lt;=Inputs!$B$3,90,"")</f>
        <v/>
      </c>
      <c r="B296" s="1" t="str">
        <f t="shared" si="36"/>
        <v/>
      </c>
      <c r="C296" s="44" t="str">
        <f>IF($A296="","",Inputs!$B$4*12*(1+Inputs!$B$10/100)^($A296-1))</f>
        <v/>
      </c>
      <c r="D296" s="44" t="str">
        <f>IF($A296="","",B296*(Inputs!$B$5/100))</f>
        <v/>
      </c>
      <c r="E296" s="64" t="str">
        <f>IF($A296="","",IFERROR(IF(OR(Inputs!$B$8&lt;=0,Inputs!$B$8=""),0,IF(AND($A296&gt;=Inputs!$B$8,MOD($A296,Inputs!$B$8)=0),Inputs!$B$7*(1+Inputs!$B$6/100)^$A296,0)),0))</f>
        <v/>
      </c>
      <c r="F296" s="44" t="str">
        <f t="shared" si="34"/>
        <v/>
      </c>
      <c r="G296" s="44">
        <f t="shared" si="35"/>
        <v>0</v>
      </c>
      <c r="H296" s="44"/>
      <c r="I296" s="44"/>
      <c r="J296" s="44"/>
      <c r="K296" s="44"/>
      <c r="L296" s="44"/>
      <c r="M296" s="44"/>
      <c r="N296" s="44"/>
      <c r="O296" s="44"/>
      <c r="P296" s="44"/>
      <c r="Q296" s="44"/>
      <c r="R296" s="44"/>
      <c r="S296" s="44"/>
      <c r="T296" s="44"/>
      <c r="U296" s="44"/>
      <c r="V296" s="44"/>
      <c r="W296" s="44"/>
      <c r="X296" s="44"/>
      <c r="Y296" s="44"/>
      <c r="Z296" s="44"/>
      <c r="AA296" s="44"/>
      <c r="AB296" s="44"/>
      <c r="AC296" s="44"/>
    </row>
    <row r="297" spans="1:29" ht="15" customHeight="1" x14ac:dyDescent="0.25">
      <c r="A297" s="1" t="str">
        <f>IF(91&lt;=Inputs!$B$3,91,"")</f>
        <v/>
      </c>
      <c r="B297" s="1" t="str">
        <f t="shared" si="36"/>
        <v/>
      </c>
      <c r="C297" s="44" t="str">
        <f>IF($A297="","",Inputs!$B$4*12*(1+Inputs!$B$10/100)^($A297-1))</f>
        <v/>
      </c>
      <c r="D297" s="44" t="str">
        <f>IF($A297="","",B297*(Inputs!$B$5/100))</f>
        <v/>
      </c>
      <c r="E297" s="64" t="str">
        <f>IF($A297="","",IFERROR(IF(OR(Inputs!$B$8&lt;=0,Inputs!$B$8=""),0,IF(AND($A297&gt;=Inputs!$B$8,MOD($A297,Inputs!$B$8)=0),Inputs!$B$7*(1+Inputs!$B$6/100)^$A297,0)),0))</f>
        <v/>
      </c>
      <c r="F297" s="44" t="str">
        <f t="shared" si="34"/>
        <v/>
      </c>
      <c r="G297" s="44">
        <f t="shared" si="35"/>
        <v>0</v>
      </c>
      <c r="H297" s="44"/>
      <c r="I297" s="44"/>
      <c r="J297" s="44"/>
      <c r="K297" s="44"/>
      <c r="L297" s="44"/>
      <c r="M297" s="44"/>
      <c r="N297" s="44"/>
      <c r="O297" s="44"/>
      <c r="P297" s="44"/>
      <c r="Q297" s="44"/>
      <c r="R297" s="44"/>
      <c r="S297" s="44"/>
      <c r="T297" s="44"/>
      <c r="U297" s="44"/>
      <c r="V297" s="44"/>
      <c r="W297" s="44"/>
      <c r="X297" s="44"/>
      <c r="Y297" s="44"/>
      <c r="Z297" s="44"/>
      <c r="AA297" s="44"/>
      <c r="AB297" s="44"/>
      <c r="AC297" s="44"/>
    </row>
    <row r="298" spans="1:29" ht="15" customHeight="1" x14ac:dyDescent="0.25">
      <c r="A298" s="1" t="str">
        <f>IF(92&lt;=Inputs!$B$3,92,"")</f>
        <v/>
      </c>
      <c r="B298" s="1" t="str">
        <f t="shared" si="36"/>
        <v/>
      </c>
      <c r="C298" s="44" t="str">
        <f>IF($A298="","",Inputs!$B$4*12*(1+Inputs!$B$10/100)^($A298-1))</f>
        <v/>
      </c>
      <c r="D298" s="1" t="str">
        <f>IF($A298="","",B298*(Inputs!$B$5/100))</f>
        <v/>
      </c>
      <c r="E298" s="37" t="str">
        <f>IF($A298="","",IFERROR(IF(OR(Inputs!$B$8&lt;=0,Inputs!$B$8=""),0,IF(AND($A298&gt;=Inputs!$B$8,MOD($A298,Inputs!$B$8)=0),Inputs!$B$7*(1+Inputs!$B$6/100)^$A298,0)),0))</f>
        <v/>
      </c>
      <c r="F298" s="44" t="str">
        <f t="shared" si="34"/>
        <v/>
      </c>
      <c r="G298" s="1">
        <f t="shared" si="35"/>
        <v>0</v>
      </c>
    </row>
    <row r="299" spans="1:29" ht="15" customHeight="1" x14ac:dyDescent="0.25">
      <c r="A299" s="1" t="str">
        <f>IF(93&lt;=Inputs!$B$3,93,"")</f>
        <v/>
      </c>
      <c r="B299" s="1" t="str">
        <f t="shared" si="36"/>
        <v/>
      </c>
      <c r="C299" s="44" t="str">
        <f>IF($A299="","",Inputs!$B$4*12*(1+Inputs!$B$10/100)^($A299-1))</f>
        <v/>
      </c>
      <c r="D299" s="1" t="str">
        <f>IF($A299="","",B299*(Inputs!$B$5/100))</f>
        <v/>
      </c>
      <c r="E299" s="37" t="str">
        <f>IF($A299="","",IFERROR(IF(OR(Inputs!$B$8&lt;=0,Inputs!$B$8=""),0,IF(AND($A299&gt;=Inputs!$B$8,MOD($A299,Inputs!$B$8)=0),Inputs!$B$7*(1+Inputs!$B$6/100)^$A299,0)),0))</f>
        <v/>
      </c>
      <c r="F299" s="44" t="str">
        <f t="shared" si="34"/>
        <v/>
      </c>
      <c r="G299" s="1">
        <f t="shared" si="35"/>
        <v>0</v>
      </c>
    </row>
    <row r="300" spans="1:29" ht="15" customHeight="1" x14ac:dyDescent="0.25">
      <c r="A300" s="1" t="str">
        <f>IF(94&lt;=Inputs!$B$3,94,"")</f>
        <v/>
      </c>
      <c r="B300" s="1" t="str">
        <f t="shared" si="36"/>
        <v/>
      </c>
      <c r="C300" s="44" t="str">
        <f>IF($A300="","",Inputs!$B$4*12*(1+Inputs!$B$10/100)^($A300-1))</f>
        <v/>
      </c>
      <c r="D300" s="1" t="str">
        <f>IF($A300="","",B300*(Inputs!$B$5/100))</f>
        <v/>
      </c>
      <c r="E300" s="37" t="str">
        <f>IF($A300="","",IFERROR(IF(OR(Inputs!$B$8&lt;=0,Inputs!$B$8=""),0,IF(AND($A300&gt;=Inputs!$B$8,MOD($A300,Inputs!$B$8)=0),Inputs!$B$7*(1+Inputs!$B$6/100)^$A300,0)),0))</f>
        <v/>
      </c>
      <c r="F300" s="44" t="str">
        <f t="shared" si="34"/>
        <v/>
      </c>
      <c r="G300" s="1">
        <f t="shared" si="35"/>
        <v>0</v>
      </c>
    </row>
    <row r="301" spans="1:29" ht="15" customHeight="1" x14ac:dyDescent="0.25">
      <c r="A301" s="1" t="str">
        <f>IF(95&lt;=Inputs!$B$3,95,"")</f>
        <v/>
      </c>
      <c r="B301" s="1" t="str">
        <f t="shared" si="36"/>
        <v/>
      </c>
      <c r="C301" s="44" t="str">
        <f>IF($A301="","",Inputs!$B$4*12*(1+Inputs!$B$10/100)^($A301-1))</f>
        <v/>
      </c>
      <c r="D301" s="1" t="str">
        <f>IF($A301="","",B301*(Inputs!$B$5/100))</f>
        <v/>
      </c>
      <c r="E301" s="37" t="str">
        <f>IF($A301="","",IFERROR(IF(OR(Inputs!$B$8&lt;=0,Inputs!$B$8=""),0,IF(AND($A301&gt;=Inputs!$B$8,MOD($A301,Inputs!$B$8)=0),Inputs!$B$7*(1+Inputs!$B$6/100)^$A301,0)),0))</f>
        <v/>
      </c>
      <c r="F301" s="44" t="str">
        <f t="shared" si="34"/>
        <v/>
      </c>
      <c r="G301" s="1">
        <f t="shared" si="35"/>
        <v>0</v>
      </c>
    </row>
    <row r="302" spans="1:29" ht="15" customHeight="1" x14ac:dyDescent="0.25">
      <c r="A302" s="1" t="str">
        <f>IF(96&lt;=Inputs!$B$3,96,"")</f>
        <v/>
      </c>
      <c r="B302" s="1" t="str">
        <f t="shared" si="36"/>
        <v/>
      </c>
      <c r="C302" s="44" t="str">
        <f>IF($A302="","",Inputs!$B$4*12*(1+Inputs!$B$10/100)^($A302-1))</f>
        <v/>
      </c>
      <c r="D302" s="1" t="str">
        <f>IF($A302="","",B302*(Inputs!$B$5/100))</f>
        <v/>
      </c>
      <c r="E302" s="37" t="str">
        <f>IF($A302="","",IFERROR(IF(OR(Inputs!$B$8&lt;=0,Inputs!$B$8=""),0,IF(AND($A302&gt;=Inputs!$B$8,MOD($A302,Inputs!$B$8)=0),Inputs!$B$7*(1+Inputs!$B$6/100)^$A302,0)),0))</f>
        <v/>
      </c>
      <c r="F302" s="44" t="str">
        <f t="shared" si="34"/>
        <v/>
      </c>
      <c r="G302" s="1">
        <f t="shared" si="35"/>
        <v>0</v>
      </c>
    </row>
    <row r="303" spans="1:29" ht="15.75" customHeight="1" x14ac:dyDescent="0.25">
      <c r="A303" s="1" t="str">
        <f>IF(97&lt;=Inputs!$B$3,97,"")</f>
        <v/>
      </c>
      <c r="B303" s="1" t="str">
        <f t="shared" si="36"/>
        <v/>
      </c>
      <c r="C303" s="1" t="str">
        <f>IF($A303="","",Inputs!$B$4*12*(1+Inputs!$B$10/100)^($A303-1))</f>
        <v/>
      </c>
      <c r="D303" s="1" t="str">
        <f>IF($A303="","",B303*(Inputs!$B$5/100))</f>
        <v/>
      </c>
      <c r="E303" s="37" t="str">
        <f>IF($A303="","",IFERROR(IF(OR(Inputs!$B$8&lt;=0,Inputs!$B$8=""),0,IF(AND($A303&gt;=Inputs!$B$8,MOD($A303,Inputs!$B$8)=0),Inputs!$B$7*(1+Inputs!$B$6/100)^$A303,0)),0))</f>
        <v/>
      </c>
      <c r="F303" s="1" t="str">
        <f t="shared" ref="F303:F306" si="37">IF($A303="","",IFERROR(B303+C303+D303-E303,0))</f>
        <v/>
      </c>
      <c r="G303" s="1">
        <f t="shared" si="35"/>
        <v>0</v>
      </c>
    </row>
    <row r="304" spans="1:29" ht="15.75" customHeight="1" x14ac:dyDescent="0.25">
      <c r="A304" s="1" t="str">
        <f>IF(98&lt;=Inputs!$B$3,98,"")</f>
        <v/>
      </c>
      <c r="B304" s="1" t="str">
        <f t="shared" si="36"/>
        <v/>
      </c>
      <c r="C304" s="1" t="str">
        <f>IF($A304="","",Inputs!$B$4*12*(1+Inputs!$B$10/100)^($A304-1))</f>
        <v/>
      </c>
      <c r="D304" s="1" t="str">
        <f>IF($A304="","",B304*(Inputs!$B$5/100))</f>
        <v/>
      </c>
      <c r="E304" s="37" t="str">
        <f>IF($A304="","",IFERROR(IF(OR(Inputs!$B$8&lt;=0,Inputs!$B$8=""),0,IF(AND($A304&gt;=Inputs!$B$8,MOD($A304,Inputs!$B$8)=0),Inputs!$B$7*(1+Inputs!$B$6/100)^$A304,0)),0))</f>
        <v/>
      </c>
      <c r="F304" s="1" t="str">
        <f t="shared" si="37"/>
        <v/>
      </c>
      <c r="G304" s="1">
        <f t="shared" si="35"/>
        <v>0</v>
      </c>
    </row>
    <row r="305" spans="1:7" ht="15.75" customHeight="1" x14ac:dyDescent="0.25">
      <c r="A305" s="1" t="str">
        <f>IF(99&lt;=Inputs!$B$3,99,"")</f>
        <v/>
      </c>
      <c r="B305" s="1" t="str">
        <f t="shared" si="36"/>
        <v/>
      </c>
      <c r="C305" s="1" t="str">
        <f>IF($A305="","",Inputs!$B$4*12*(1+Inputs!$B$10/100)^($A305-1))</f>
        <v/>
      </c>
      <c r="D305" s="1" t="str">
        <f>IF($A305="","",B305*(Inputs!$B$5/100))</f>
        <v/>
      </c>
      <c r="E305" s="37" t="str">
        <f>IF($A305="","",IFERROR(IF(OR(Inputs!$B$8&lt;=0,Inputs!$B$8=""),0,IF(AND($A305&gt;=Inputs!$B$8,MOD($A305,Inputs!$B$8)=0),Inputs!$B$7*(1+Inputs!$B$6/100)^$A305,0)),0))</f>
        <v/>
      </c>
      <c r="F305" s="1" t="str">
        <f t="shared" si="37"/>
        <v/>
      </c>
      <c r="G305" s="1">
        <f t="shared" si="35"/>
        <v>0</v>
      </c>
    </row>
    <row r="306" spans="1:7" ht="15.75" customHeight="1" x14ac:dyDescent="0.25">
      <c r="A306" s="1" t="str">
        <f>IF(100&lt;=Inputs!$B$3,100,"")</f>
        <v/>
      </c>
      <c r="B306" s="1" t="str">
        <f t="shared" si="36"/>
        <v/>
      </c>
      <c r="C306" s="1" t="str">
        <f>IF($A306="","",Inputs!$B$4*12*(1+Inputs!$B$10/100)^($A306-1))</f>
        <v/>
      </c>
      <c r="D306" s="1" t="str">
        <f>IF($A306="","",B306*(Inputs!$B$5/100))</f>
        <v/>
      </c>
      <c r="E306" s="37" t="str">
        <f>IF($A306="","",IFERROR(IF(OR(Inputs!$B$8&lt;=0,Inputs!$B$8=""),0,IF(AND($A306&gt;=Inputs!$B$8,MOD($A306,Inputs!$B$8)=0),Inputs!$B$7*(1+Inputs!$B$6/100)^$A306,0)),0))</f>
        <v/>
      </c>
      <c r="F306" s="1" t="str">
        <f t="shared" si="37"/>
        <v/>
      </c>
      <c r="G306" s="1">
        <f t="shared" si="35"/>
        <v>0</v>
      </c>
    </row>
    <row r="307" spans="1:7" ht="15.75" customHeight="1" x14ac:dyDescent="0.25"/>
    <row r="308" spans="1:7" ht="15.75" customHeight="1" x14ac:dyDescent="0.25">
      <c r="A308" s="1">
        <f>IF(1&lt;=Inputs!$B$3,1,"")</f>
        <v>1</v>
      </c>
      <c r="B308" s="65">
        <f>IF($A308="","",Inputs!$B$9)</f>
        <v>0</v>
      </c>
      <c r="C308" s="1">
        <f>IF($A308="","",Inputs!$B$4*12*(1+Inputs!$B$10/100)^($A308-1))</f>
        <v>4800</v>
      </c>
      <c r="D308" s="1">
        <f>IF($A308="","",B308*((Inputs!$B$5+2)/100))</f>
        <v>0</v>
      </c>
      <c r="E308" s="37">
        <f>IF($A308="","",IFERROR(IF(OR(Inputs!$B$8&lt;=0,Inputs!$B$8=""),0,IF(AND($A308&gt;=Inputs!$B$8,MOD($A308,Inputs!$B$8)=0),Inputs!$B$7*(1+Inputs!$B$6/100)^$A308,0)),0))</f>
        <v>0</v>
      </c>
      <c r="F308" s="1">
        <f t="shared" ref="F308:F339" si="38">IF($A308="","",IFERROR(B308+C308+D308-E308,0))</f>
        <v>4800</v>
      </c>
      <c r="G308" s="1">
        <f t="shared" ref="G308:G339" si="39">IF($A308="",0,IF(IFERROR(D308,0)&gt;IFERROR(C308,0),1,0))</f>
        <v>0</v>
      </c>
    </row>
    <row r="309" spans="1:7" ht="15.75" customHeight="1" x14ac:dyDescent="0.25">
      <c r="A309" s="1">
        <f>IF(2&lt;=Inputs!$B$3,2,"")</f>
        <v>2</v>
      </c>
      <c r="B309" s="1">
        <f t="shared" ref="B309:B340" si="40">IF($A309="","",IFERROR(F308,0))</f>
        <v>4800</v>
      </c>
      <c r="C309" s="1">
        <f>IF($A309="","",Inputs!$B$4*12*(1+Inputs!$B$10/100)^($A309-1))</f>
        <v>4800</v>
      </c>
      <c r="D309" s="1">
        <f>IF($A309="","",B309*((Inputs!$B$5+2)/100))</f>
        <v>432</v>
      </c>
      <c r="E309" s="37">
        <f>IF($A309="","",IFERROR(IF(OR(Inputs!$B$8&lt;=0,Inputs!$B$8=""),0,IF(AND($A309&gt;=Inputs!$B$8,MOD($A309,Inputs!$B$8)=0),Inputs!$B$7*(1+Inputs!$B$6/100)^$A309,0)),0))</f>
        <v>0</v>
      </c>
      <c r="F309" s="1">
        <f t="shared" si="38"/>
        <v>10032</v>
      </c>
      <c r="G309" s="1">
        <f t="shared" si="39"/>
        <v>0</v>
      </c>
    </row>
    <row r="310" spans="1:7" ht="15.75" customHeight="1" x14ac:dyDescent="0.25">
      <c r="A310" s="1">
        <f>IF(3&lt;=Inputs!$B$3,3,"")</f>
        <v>3</v>
      </c>
      <c r="B310" s="1">
        <f t="shared" si="40"/>
        <v>10032</v>
      </c>
      <c r="C310" s="1">
        <f>IF($A310="","",Inputs!$B$4*12*(1+Inputs!$B$10/100)^($A310-1))</f>
        <v>4800</v>
      </c>
      <c r="D310" s="1">
        <f>IF($A310="","",B310*((Inputs!$B$5+2)/100))</f>
        <v>902.88</v>
      </c>
      <c r="E310" s="37">
        <f>IF($A310="","",IFERROR(IF(OR(Inputs!$B$8&lt;=0,Inputs!$B$8=""),0,IF(AND($A310&gt;=Inputs!$B$8,MOD($A310,Inputs!$B$8)=0),Inputs!$B$7*(1+Inputs!$B$6/100)^$A310,0)),0))</f>
        <v>0</v>
      </c>
      <c r="F310" s="1">
        <f t="shared" si="38"/>
        <v>15734.88</v>
      </c>
      <c r="G310" s="1">
        <f t="shared" si="39"/>
        <v>0</v>
      </c>
    </row>
    <row r="311" spans="1:7" ht="15.75" customHeight="1" x14ac:dyDescent="0.25">
      <c r="A311" s="1">
        <f>IF(4&lt;=Inputs!$B$3,4,"")</f>
        <v>4</v>
      </c>
      <c r="B311" s="1">
        <f t="shared" si="40"/>
        <v>15734.88</v>
      </c>
      <c r="C311" s="1">
        <f>IF($A311="","",Inputs!$B$4*12*(1+Inputs!$B$10/100)^($A311-1))</f>
        <v>4800</v>
      </c>
      <c r="D311" s="1">
        <f>IF($A311="","",B311*((Inputs!$B$5+2)/100))</f>
        <v>1416.1391999999998</v>
      </c>
      <c r="E311" s="37">
        <f>IF($A311="","",IFERROR(IF(OR(Inputs!$B$8&lt;=0,Inputs!$B$8=""),0,IF(AND($A311&gt;=Inputs!$B$8,MOD($A311,Inputs!$B$8)=0),Inputs!$B$7*(1+Inputs!$B$6/100)^$A311,0)),0))</f>
        <v>0</v>
      </c>
      <c r="F311" s="1">
        <f t="shared" si="38"/>
        <v>21951.019199999999</v>
      </c>
      <c r="G311" s="1">
        <f t="shared" si="39"/>
        <v>0</v>
      </c>
    </row>
    <row r="312" spans="1:7" ht="15.75" customHeight="1" x14ac:dyDescent="0.25">
      <c r="A312" s="1">
        <f>IF(5&lt;=Inputs!$B$3,5,"")</f>
        <v>5</v>
      </c>
      <c r="B312" s="1">
        <f t="shared" si="40"/>
        <v>21951.019199999999</v>
      </c>
      <c r="C312" s="1">
        <f>IF($A312="","",Inputs!$B$4*12*(1+Inputs!$B$10/100)^($A312-1))</f>
        <v>4800</v>
      </c>
      <c r="D312" s="1">
        <f>IF($A312="","",B312*((Inputs!$B$5+2)/100))</f>
        <v>1975.5917279999999</v>
      </c>
      <c r="E312" s="37">
        <f>IF($A312="","",IFERROR(IF(OR(Inputs!$B$8&lt;=0,Inputs!$B$8=""),0,IF(AND($A312&gt;=Inputs!$B$8,MOD($A312,Inputs!$B$8)=0),Inputs!$B$7*(1+Inputs!$B$6/100)^$A312,0)),0))</f>
        <v>0</v>
      </c>
      <c r="F312" s="1">
        <f t="shared" si="38"/>
        <v>28726.610927999998</v>
      </c>
      <c r="G312" s="1">
        <f t="shared" si="39"/>
        <v>0</v>
      </c>
    </row>
    <row r="313" spans="1:7" ht="15.75" customHeight="1" x14ac:dyDescent="0.25">
      <c r="A313" s="1">
        <f>IF(6&lt;=Inputs!$B$3,6,"")</f>
        <v>6</v>
      </c>
      <c r="B313" s="1">
        <f t="shared" si="40"/>
        <v>28726.610927999998</v>
      </c>
      <c r="C313" s="1">
        <f>IF($A313="","",Inputs!$B$4*12*(1+Inputs!$B$10/100)^($A313-1))</f>
        <v>4800</v>
      </c>
      <c r="D313" s="1">
        <f>IF($A313="","",B313*((Inputs!$B$5+2)/100))</f>
        <v>2585.3949835199996</v>
      </c>
      <c r="E313" s="37">
        <f>IF($A313="","",IFERROR(IF(OR(Inputs!$B$8&lt;=0,Inputs!$B$8=""),0,IF(AND($A313&gt;=Inputs!$B$8,MOD($A313,Inputs!$B$8)=0),Inputs!$B$7*(1+Inputs!$B$6/100)^$A313,0)),0))</f>
        <v>0</v>
      </c>
      <c r="F313" s="1">
        <f t="shared" si="38"/>
        <v>36112.005911519991</v>
      </c>
      <c r="G313" s="1">
        <f t="shared" si="39"/>
        <v>0</v>
      </c>
    </row>
    <row r="314" spans="1:7" ht="15.75" customHeight="1" x14ac:dyDescent="0.25">
      <c r="A314" s="1">
        <f>IF(7&lt;=Inputs!$B$3,7,"")</f>
        <v>7</v>
      </c>
      <c r="B314" s="1">
        <f t="shared" si="40"/>
        <v>36112.005911519991</v>
      </c>
      <c r="C314" s="1">
        <f>IF($A314="","",Inputs!$B$4*12*(1+Inputs!$B$10/100)^($A314-1))</f>
        <v>4800</v>
      </c>
      <c r="D314" s="1">
        <f>IF($A314="","",B314*((Inputs!$B$5+2)/100))</f>
        <v>3250.080532036799</v>
      </c>
      <c r="E314" s="37">
        <f>IF($A314="","",IFERROR(IF(OR(Inputs!$B$8&lt;=0,Inputs!$B$8=""),0,IF(AND($A314&gt;=Inputs!$B$8,MOD($A314,Inputs!$B$8)=0),Inputs!$B$7*(1+Inputs!$B$6/100)^$A314,0)),0))</f>
        <v>24597.4773084974</v>
      </c>
      <c r="F314" s="1">
        <f t="shared" si="38"/>
        <v>19564.609135059392</v>
      </c>
      <c r="G314" s="1">
        <f t="shared" si="39"/>
        <v>0</v>
      </c>
    </row>
    <row r="315" spans="1:7" ht="15.75" customHeight="1" x14ac:dyDescent="0.25">
      <c r="A315" s="1">
        <f>IF(8&lt;=Inputs!$B$3,8,"")</f>
        <v>8</v>
      </c>
      <c r="B315" s="1">
        <f t="shared" si="40"/>
        <v>19564.609135059392</v>
      </c>
      <c r="C315" s="1">
        <f>IF($A315="","",Inputs!$B$4*12*(1+Inputs!$B$10/100)^($A315-1))</f>
        <v>4800</v>
      </c>
      <c r="D315" s="1">
        <f>IF($A315="","",B315*((Inputs!$B$5+2)/100))</f>
        <v>1760.8148221553452</v>
      </c>
      <c r="E315" s="37">
        <f>IF($A315="","",IFERROR(IF(OR(Inputs!$B$8&lt;=0,Inputs!$B$8=""),0,IF(AND($A315&gt;=Inputs!$B$8,MOD($A315,Inputs!$B$8)=0),Inputs!$B$7*(1+Inputs!$B$6/100)^$A315,0)),0))</f>
        <v>0</v>
      </c>
      <c r="F315" s="1">
        <f t="shared" si="38"/>
        <v>26125.423957214738</v>
      </c>
      <c r="G315" s="1">
        <f t="shared" si="39"/>
        <v>0</v>
      </c>
    </row>
    <row r="316" spans="1:7" ht="15.75" customHeight="1" x14ac:dyDescent="0.25">
      <c r="A316" s="1">
        <f>IF(9&lt;=Inputs!$B$3,9,"")</f>
        <v>9</v>
      </c>
      <c r="B316" s="1">
        <f t="shared" si="40"/>
        <v>26125.423957214738</v>
      </c>
      <c r="C316" s="1">
        <f>IF($A316="","",Inputs!$B$4*12*(1+Inputs!$B$10/100)^($A316-1))</f>
        <v>4800</v>
      </c>
      <c r="D316" s="1">
        <f>IF($A316="","",B316*((Inputs!$B$5+2)/100))</f>
        <v>2351.2881561493264</v>
      </c>
      <c r="E316" s="37">
        <f>IF($A316="","",IFERROR(IF(OR(Inputs!$B$8&lt;=0,Inputs!$B$8=""),0,IF(AND($A316&gt;=Inputs!$B$8,MOD($A316,Inputs!$B$8)=0),Inputs!$B$7*(1+Inputs!$B$6/100)^$A316,0)),0))</f>
        <v>0</v>
      </c>
      <c r="F316" s="1">
        <f t="shared" si="38"/>
        <v>33276.712113364061</v>
      </c>
      <c r="G316" s="1">
        <f t="shared" si="39"/>
        <v>0</v>
      </c>
    </row>
    <row r="317" spans="1:7" ht="15.75" customHeight="1" x14ac:dyDescent="0.25">
      <c r="A317" s="1">
        <f>IF(10&lt;=Inputs!$B$3,10,"")</f>
        <v>10</v>
      </c>
      <c r="B317" s="1">
        <f t="shared" si="40"/>
        <v>33276.712113364061</v>
      </c>
      <c r="C317" s="1">
        <f>IF($A317="","",Inputs!$B$4*12*(1+Inputs!$B$10/100)^($A317-1))</f>
        <v>4800</v>
      </c>
      <c r="D317" s="1">
        <f>IF($A317="","",B317*((Inputs!$B$5+2)/100))</f>
        <v>2994.9040902027655</v>
      </c>
      <c r="E317" s="37">
        <f>IF($A317="","",IFERROR(IF(OR(Inputs!$B$8&lt;=0,Inputs!$B$8=""),0,IF(AND($A317&gt;=Inputs!$B$8,MOD($A317,Inputs!$B$8)=0),Inputs!$B$7*(1+Inputs!$B$6/100)^$A317,0)),0))</f>
        <v>0</v>
      </c>
      <c r="F317" s="1">
        <f t="shared" si="38"/>
        <v>41071.616203566824</v>
      </c>
      <c r="G317" s="1">
        <f t="shared" si="39"/>
        <v>0</v>
      </c>
    </row>
    <row r="318" spans="1:7" ht="15.75" customHeight="1" x14ac:dyDescent="0.25">
      <c r="A318" s="1">
        <f>IF(11&lt;=Inputs!$B$3,11,"")</f>
        <v>11</v>
      </c>
      <c r="B318" s="1">
        <f t="shared" si="40"/>
        <v>41071.616203566824</v>
      </c>
      <c r="C318" s="1">
        <f>IF($A318="","",Inputs!$B$4*12*(1+Inputs!$B$10/100)^($A318-1))</f>
        <v>4800</v>
      </c>
      <c r="D318" s="1">
        <f>IF($A318="","",B318*((Inputs!$B$5+2)/100))</f>
        <v>3696.445458321014</v>
      </c>
      <c r="E318" s="37">
        <f>IF($A318="","",IFERROR(IF(OR(Inputs!$B$8&lt;=0,Inputs!$B$8=""),0,IF(AND($A318&gt;=Inputs!$B$8,MOD($A318,Inputs!$B$8)=0),Inputs!$B$7*(1+Inputs!$B$6/100)^$A318,0)),0))</f>
        <v>0</v>
      </c>
      <c r="F318" s="1">
        <f t="shared" si="38"/>
        <v>49568.061661887841</v>
      </c>
      <c r="G318" s="1">
        <f t="shared" si="39"/>
        <v>0</v>
      </c>
    </row>
    <row r="319" spans="1:7" ht="15.75" customHeight="1" x14ac:dyDescent="0.25">
      <c r="A319" s="1">
        <f>IF(12&lt;=Inputs!$B$3,12,"")</f>
        <v>12</v>
      </c>
      <c r="B319" s="1">
        <f t="shared" si="40"/>
        <v>49568.061661887841</v>
      </c>
      <c r="C319" s="1">
        <f>IF($A319="","",Inputs!$B$4*12*(1+Inputs!$B$10/100)^($A319-1))</f>
        <v>4800</v>
      </c>
      <c r="D319" s="1">
        <f>IF($A319="","",B319*((Inputs!$B$5+2)/100))</f>
        <v>4461.1255495699052</v>
      </c>
      <c r="E319" s="37">
        <f>IF($A319="","",IFERROR(IF(OR(Inputs!$B$8&lt;=0,Inputs!$B$8=""),0,IF(AND($A319&gt;=Inputs!$B$8,MOD($A319,Inputs!$B$8)=0),Inputs!$B$7*(1+Inputs!$B$6/100)^$A319,0)),0))</f>
        <v>0</v>
      </c>
      <c r="F319" s="1">
        <f t="shared" si="38"/>
        <v>58829.187211457749</v>
      </c>
      <c r="G319" s="1">
        <f t="shared" si="39"/>
        <v>0</v>
      </c>
    </row>
    <row r="320" spans="1:7" ht="15.75" customHeight="1" x14ac:dyDescent="0.25">
      <c r="A320" s="1">
        <f>IF(13&lt;=Inputs!$B$3,13,"")</f>
        <v>13</v>
      </c>
      <c r="B320" s="1">
        <f t="shared" si="40"/>
        <v>58829.187211457749</v>
      </c>
      <c r="C320" s="1">
        <f>IF($A320="","",Inputs!$B$4*12*(1+Inputs!$B$10/100)^($A320-1))</f>
        <v>4800</v>
      </c>
      <c r="D320" s="1">
        <f>IF($A320="","",B320*((Inputs!$B$5+2)/100))</f>
        <v>5294.6268490311968</v>
      </c>
      <c r="E320" s="37">
        <f>IF($A320="","",IFERROR(IF(OR(Inputs!$B$8&lt;=0,Inputs!$B$8=""),0,IF(AND($A320&gt;=Inputs!$B$8,MOD($A320,Inputs!$B$8)=0),Inputs!$B$7*(1+Inputs!$B$6/100)^$A320,0)),0))</f>
        <v>0</v>
      </c>
      <c r="F320" s="1">
        <f t="shared" si="38"/>
        <v>68923.814060488949</v>
      </c>
      <c r="G320" s="1">
        <f t="shared" si="39"/>
        <v>1</v>
      </c>
    </row>
    <row r="321" spans="1:7" ht="15.75" customHeight="1" x14ac:dyDescent="0.25">
      <c r="A321" s="1">
        <f>IF(14&lt;=Inputs!$B$3,14,"")</f>
        <v>14</v>
      </c>
      <c r="B321" s="1">
        <f t="shared" si="40"/>
        <v>68923.814060488949</v>
      </c>
      <c r="C321" s="1">
        <f>IF($A321="","",Inputs!$B$4*12*(1+Inputs!$B$10/100)^($A321-1))</f>
        <v>4800</v>
      </c>
      <c r="D321" s="1">
        <f>IF($A321="","",B321*((Inputs!$B$5+2)/100))</f>
        <v>6203.143265444005</v>
      </c>
      <c r="E321" s="37">
        <f>IF($A321="","",IFERROR(IF(OR(Inputs!$B$8&lt;=0,Inputs!$B$8=""),0,IF(AND($A321&gt;=Inputs!$B$8,MOD($A321,Inputs!$B$8)=0),Inputs!$B$7*(1+Inputs!$B$6/100)^$A321,0)),0))</f>
        <v>30251.794497102219</v>
      </c>
      <c r="F321" s="1">
        <f t="shared" si="38"/>
        <v>49675.162828830726</v>
      </c>
      <c r="G321" s="1">
        <f t="shared" si="39"/>
        <v>1</v>
      </c>
    </row>
    <row r="322" spans="1:7" ht="15.75" customHeight="1" x14ac:dyDescent="0.25">
      <c r="A322" s="1">
        <f>IF(15&lt;=Inputs!$B$3,15,"")</f>
        <v>15</v>
      </c>
      <c r="B322" s="1">
        <f t="shared" si="40"/>
        <v>49675.162828830726</v>
      </c>
      <c r="C322" s="1">
        <f>IF($A322="","",Inputs!$B$4*12*(1+Inputs!$B$10/100)^($A322-1))</f>
        <v>4800</v>
      </c>
      <c r="D322" s="1">
        <f>IF($A322="","",B322*((Inputs!$B$5+2)/100))</f>
        <v>4470.7646545947655</v>
      </c>
      <c r="E322" s="37">
        <f>IF($A322="","",IFERROR(IF(OR(Inputs!$B$8&lt;=0,Inputs!$B$8=""),0,IF(AND($A322&gt;=Inputs!$B$8,MOD($A322,Inputs!$B$8)=0),Inputs!$B$7*(1+Inputs!$B$6/100)^$A322,0)),0))</f>
        <v>0</v>
      </c>
      <c r="F322" s="1">
        <f t="shared" si="38"/>
        <v>58945.92748342549</v>
      </c>
      <c r="G322" s="1">
        <f t="shared" si="39"/>
        <v>0</v>
      </c>
    </row>
    <row r="323" spans="1:7" ht="15.75" customHeight="1" x14ac:dyDescent="0.25">
      <c r="A323" s="1">
        <f>IF(16&lt;=Inputs!$B$3,16,"")</f>
        <v>16</v>
      </c>
      <c r="B323" s="1">
        <f t="shared" si="40"/>
        <v>58945.92748342549</v>
      </c>
      <c r="C323" s="1">
        <f>IF($A323="","",Inputs!$B$4*12*(1+Inputs!$B$10/100)^($A323-1))</f>
        <v>4800</v>
      </c>
      <c r="D323" s="1">
        <f>IF($A323="","",B323*((Inputs!$B$5+2)/100))</f>
        <v>5305.1334735082937</v>
      </c>
      <c r="E323" s="37">
        <f>IF($A323="","",IFERROR(IF(OR(Inputs!$B$8&lt;=0,Inputs!$B$8=""),0,IF(AND($A323&gt;=Inputs!$B$8,MOD($A323,Inputs!$B$8)=0),Inputs!$B$7*(1+Inputs!$B$6/100)^$A323,0)),0))</f>
        <v>0</v>
      </c>
      <c r="F323" s="1">
        <f t="shared" si="38"/>
        <v>69051.060956933783</v>
      </c>
      <c r="G323" s="1">
        <f t="shared" si="39"/>
        <v>1</v>
      </c>
    </row>
    <row r="324" spans="1:7" ht="15.75" customHeight="1" x14ac:dyDescent="0.25">
      <c r="A324" s="1">
        <f>IF(17&lt;=Inputs!$B$3,17,"")</f>
        <v>17</v>
      </c>
      <c r="B324" s="1">
        <f t="shared" si="40"/>
        <v>69051.060956933783</v>
      </c>
      <c r="C324" s="1">
        <f>IF($A324="","",Inputs!$B$4*12*(1+Inputs!$B$10/100)^($A324-1))</f>
        <v>4800</v>
      </c>
      <c r="D324" s="1">
        <f>IF($A324="","",B324*((Inputs!$B$5+2)/100))</f>
        <v>6214.5954861240407</v>
      </c>
      <c r="E324" s="37">
        <f>IF($A324="","",IFERROR(IF(OR(Inputs!$B$8&lt;=0,Inputs!$B$8=""),0,IF(AND($A324&gt;=Inputs!$B$8,MOD($A324,Inputs!$B$8)=0),Inputs!$B$7*(1+Inputs!$B$6/100)^$A324,0)),0))</f>
        <v>0</v>
      </c>
      <c r="F324" s="1">
        <f t="shared" si="38"/>
        <v>80065.656443057829</v>
      </c>
      <c r="G324" s="1">
        <f t="shared" si="39"/>
        <v>1</v>
      </c>
    </row>
    <row r="325" spans="1:7" ht="15.75" customHeight="1" x14ac:dyDescent="0.25">
      <c r="A325" s="1">
        <f>IF(18&lt;=Inputs!$B$3,18,"")</f>
        <v>18</v>
      </c>
      <c r="B325" s="1">
        <f t="shared" si="40"/>
        <v>80065.656443057829</v>
      </c>
      <c r="C325" s="1">
        <f>IF($A325="","",Inputs!$B$4*12*(1+Inputs!$B$10/100)^($A325-1))</f>
        <v>4800</v>
      </c>
      <c r="D325" s="1">
        <f>IF($A325="","",B325*((Inputs!$B$5+2)/100))</f>
        <v>7205.909079875204</v>
      </c>
      <c r="E325" s="37">
        <f>IF($A325="","",IFERROR(IF(OR(Inputs!$B$8&lt;=0,Inputs!$B$8=""),0,IF(AND($A325&gt;=Inputs!$B$8,MOD($A325,Inputs!$B$8)=0),Inputs!$B$7*(1+Inputs!$B$6/100)^$A325,0)),0))</f>
        <v>0</v>
      </c>
      <c r="F325" s="1">
        <f t="shared" si="38"/>
        <v>92071.56552293303</v>
      </c>
      <c r="G325" s="1">
        <f t="shared" si="39"/>
        <v>1</v>
      </c>
    </row>
    <row r="326" spans="1:7" ht="15.75" customHeight="1" x14ac:dyDescent="0.25">
      <c r="A326" s="1">
        <f>IF(19&lt;=Inputs!$B$3,19,"")</f>
        <v>19</v>
      </c>
      <c r="B326" s="1">
        <f t="shared" si="40"/>
        <v>92071.56552293303</v>
      </c>
      <c r="C326" s="1">
        <f>IF($A326="","",Inputs!$B$4*12*(1+Inputs!$B$10/100)^($A326-1))</f>
        <v>4800</v>
      </c>
      <c r="D326" s="1">
        <f>IF($A326="","",B326*((Inputs!$B$5+2)/100))</f>
        <v>8286.4408970639724</v>
      </c>
      <c r="E326" s="37">
        <f>IF($A326="","",IFERROR(IF(OR(Inputs!$B$8&lt;=0,Inputs!$B$8=""),0,IF(AND($A326&gt;=Inputs!$B$8,MOD($A326,Inputs!$B$8)=0),Inputs!$B$7*(1+Inputs!$B$6/100)^$A326,0)),0))</f>
        <v>0</v>
      </c>
      <c r="F326" s="1">
        <f t="shared" si="38"/>
        <v>105158.00641999701</v>
      </c>
      <c r="G326" s="1">
        <f t="shared" si="39"/>
        <v>1</v>
      </c>
    </row>
    <row r="327" spans="1:7" ht="15.75" customHeight="1" x14ac:dyDescent="0.25">
      <c r="A327" s="1">
        <f>IF(20&lt;=Inputs!$B$3,20,"")</f>
        <v>20</v>
      </c>
      <c r="B327" s="1">
        <f t="shared" si="40"/>
        <v>105158.00641999701</v>
      </c>
      <c r="C327" s="1">
        <f>IF($A327="","",Inputs!$B$4*12*(1+Inputs!$B$10/100)^($A327-1))</f>
        <v>4800</v>
      </c>
      <c r="D327" s="1">
        <f>IF($A327="","",B327*((Inputs!$B$5+2)/100))</f>
        <v>9464.2205777997297</v>
      </c>
      <c r="E327" s="37">
        <f>IF($A327="","",IFERROR(IF(OR(Inputs!$B$8&lt;=0,Inputs!$B$8=""),0,IF(AND($A327&gt;=Inputs!$B$8,MOD($A327,Inputs!$B$8)=0),Inputs!$B$7*(1+Inputs!$B$6/100)^$A327,0)),0))</f>
        <v>0</v>
      </c>
      <c r="F327" s="1">
        <f t="shared" si="38"/>
        <v>119422.22699779674</v>
      </c>
      <c r="G327" s="1">
        <f t="shared" si="39"/>
        <v>1</v>
      </c>
    </row>
    <row r="328" spans="1:7" ht="15.75" customHeight="1" x14ac:dyDescent="0.25">
      <c r="A328" s="1">
        <f>IF(21&lt;=Inputs!$B$3,21,"")</f>
        <v>21</v>
      </c>
      <c r="B328" s="1">
        <f t="shared" si="40"/>
        <v>119422.22699779674</v>
      </c>
      <c r="C328" s="1">
        <f>IF($A328="","",Inputs!$B$4*12*(1+Inputs!$B$10/100)^($A328-1))</f>
        <v>4800</v>
      </c>
      <c r="D328" s="1">
        <f>IF($A328="","",B328*((Inputs!$B$5+2)/100))</f>
        <v>10748.000429801707</v>
      </c>
      <c r="E328" s="37">
        <f>IF($A328="","",IFERROR(IF(OR(Inputs!$B$8&lt;=0,Inputs!$B$8=""),0,IF(AND($A328&gt;=Inputs!$B$8,MOD($A328,Inputs!$B$8)=0),Inputs!$B$7*(1+Inputs!$B$6/100)^$A328,0)),0))</f>
        <v>37205.891434189907</v>
      </c>
      <c r="F328" s="1">
        <f t="shared" si="38"/>
        <v>97764.335993408531</v>
      </c>
      <c r="G328" s="1">
        <f t="shared" si="39"/>
        <v>1</v>
      </c>
    </row>
    <row r="329" spans="1:7" ht="15.75" customHeight="1" x14ac:dyDescent="0.25">
      <c r="A329" s="1">
        <f>IF(22&lt;=Inputs!$B$3,22,"")</f>
        <v>22</v>
      </c>
      <c r="B329" s="1">
        <f t="shared" si="40"/>
        <v>97764.335993408531</v>
      </c>
      <c r="C329" s="1">
        <f>IF($A329="","",Inputs!$B$4*12*(1+Inputs!$B$10/100)^($A329-1))</f>
        <v>4800</v>
      </c>
      <c r="D329" s="1">
        <f>IF($A329="","",B329*((Inputs!$B$5+2)/100))</f>
        <v>8798.7902394067678</v>
      </c>
      <c r="E329" s="37">
        <f>IF($A329="","",IFERROR(IF(OR(Inputs!$B$8&lt;=0,Inputs!$B$8=""),0,IF(AND($A329&gt;=Inputs!$B$8,MOD($A329,Inputs!$B$8)=0),Inputs!$B$7*(1+Inputs!$B$6/100)^$A329,0)),0))</f>
        <v>0</v>
      </c>
      <c r="F329" s="1">
        <f t="shared" si="38"/>
        <v>111363.1262328153</v>
      </c>
      <c r="G329" s="1">
        <f t="shared" si="39"/>
        <v>1</v>
      </c>
    </row>
    <row r="330" spans="1:7" ht="15.75" customHeight="1" x14ac:dyDescent="0.25">
      <c r="A330" s="1">
        <f>IF(23&lt;=Inputs!$B$3,23,"")</f>
        <v>23</v>
      </c>
      <c r="B330" s="1">
        <f t="shared" si="40"/>
        <v>111363.1262328153</v>
      </c>
      <c r="C330" s="1">
        <f>IF($A330="","",Inputs!$B$4*12*(1+Inputs!$B$10/100)^($A330-1))</f>
        <v>4800</v>
      </c>
      <c r="D330" s="1">
        <f>IF($A330="","",B330*((Inputs!$B$5+2)/100))</f>
        <v>10022.681360953376</v>
      </c>
      <c r="E330" s="37">
        <f>IF($A330="","",IFERROR(IF(OR(Inputs!$B$8&lt;=0,Inputs!$B$8=""),0,IF(AND($A330&gt;=Inputs!$B$8,MOD($A330,Inputs!$B$8)=0),Inputs!$B$7*(1+Inputs!$B$6/100)^$A330,0)),0))</f>
        <v>0</v>
      </c>
      <c r="F330" s="1">
        <f t="shared" si="38"/>
        <v>126185.80759376867</v>
      </c>
      <c r="G330" s="1">
        <f t="shared" si="39"/>
        <v>1</v>
      </c>
    </row>
    <row r="331" spans="1:7" ht="15.75" customHeight="1" x14ac:dyDescent="0.25">
      <c r="A331" s="1">
        <f>IF(24&lt;=Inputs!$B$3,24,"")</f>
        <v>24</v>
      </c>
      <c r="B331" s="1">
        <f t="shared" si="40"/>
        <v>126185.80759376867</v>
      </c>
      <c r="C331" s="1">
        <f>IF($A331="","",Inputs!$B$4*12*(1+Inputs!$B$10/100)^($A331-1))</f>
        <v>4800</v>
      </c>
      <c r="D331" s="1">
        <f>IF($A331="","",B331*((Inputs!$B$5+2)/100))</f>
        <v>11356.72268343918</v>
      </c>
      <c r="E331" s="37">
        <f>IF($A331="","",IFERROR(IF(OR(Inputs!$B$8&lt;=0,Inputs!$B$8=""),0,IF(AND($A331&gt;=Inputs!$B$8,MOD($A331,Inputs!$B$8)=0),Inputs!$B$7*(1+Inputs!$B$6/100)^$A331,0)),0))</f>
        <v>0</v>
      </c>
      <c r="F331" s="1">
        <f t="shared" si="38"/>
        <v>142342.53027720784</v>
      </c>
      <c r="G331" s="1">
        <f t="shared" si="39"/>
        <v>1</v>
      </c>
    </row>
    <row r="332" spans="1:7" ht="15.75" customHeight="1" x14ac:dyDescent="0.25">
      <c r="A332" s="1">
        <f>IF(25&lt;=Inputs!$B$3,25,"")</f>
        <v>25</v>
      </c>
      <c r="B332" s="1">
        <f t="shared" si="40"/>
        <v>142342.53027720784</v>
      </c>
      <c r="C332" s="1">
        <f>IF($A332="","",Inputs!$B$4*12*(1+Inputs!$B$10/100)^($A332-1))</f>
        <v>4800</v>
      </c>
      <c r="D332" s="1">
        <f>IF($A332="","",B332*((Inputs!$B$5+2)/100))</f>
        <v>12810.827724948706</v>
      </c>
      <c r="E332" s="37">
        <f>IF($A332="","",IFERROR(IF(OR(Inputs!$B$8&lt;=0,Inputs!$B$8=""),0,IF(AND($A332&gt;=Inputs!$B$8,MOD($A332,Inputs!$B$8)=0),Inputs!$B$7*(1+Inputs!$B$6/100)^$A332,0)),0))</f>
        <v>0</v>
      </c>
      <c r="F332" s="1">
        <f t="shared" si="38"/>
        <v>159953.35800215654</v>
      </c>
      <c r="G332" s="1">
        <f t="shared" si="39"/>
        <v>1</v>
      </c>
    </row>
    <row r="333" spans="1:7" ht="15.75" customHeight="1" x14ac:dyDescent="0.25">
      <c r="A333" s="1">
        <f>IF(26&lt;=Inputs!$B$3,26,"")</f>
        <v>26</v>
      </c>
      <c r="B333" s="1">
        <f t="shared" si="40"/>
        <v>159953.35800215654</v>
      </c>
      <c r="C333" s="1">
        <f>IF($A333="","",Inputs!$B$4*12*(1+Inputs!$B$10/100)^($A333-1))</f>
        <v>4800</v>
      </c>
      <c r="D333" s="1">
        <f>IF($A333="","",B333*((Inputs!$B$5+2)/100))</f>
        <v>14395.802220194088</v>
      </c>
      <c r="E333" s="37">
        <f>IF($A333="","",IFERROR(IF(OR(Inputs!$B$8&lt;=0,Inputs!$B$8=""),0,IF(AND($A333&gt;=Inputs!$B$8,MOD($A333,Inputs!$B$8)=0),Inputs!$B$7*(1+Inputs!$B$6/100)^$A333,0)),0))</f>
        <v>0</v>
      </c>
      <c r="F333" s="1">
        <f t="shared" si="38"/>
        <v>179149.16022235062</v>
      </c>
      <c r="G333" s="1">
        <f t="shared" si="39"/>
        <v>1</v>
      </c>
    </row>
    <row r="334" spans="1:7" ht="15.75" customHeight="1" x14ac:dyDescent="0.25">
      <c r="A334" s="1">
        <f>IF(27&lt;=Inputs!$B$3,27,"")</f>
        <v>27</v>
      </c>
      <c r="B334" s="1">
        <f t="shared" si="40"/>
        <v>179149.16022235062</v>
      </c>
      <c r="C334" s="1">
        <f>IF($A334="","",Inputs!$B$4*12*(1+Inputs!$B$10/100)^($A334-1))</f>
        <v>4800</v>
      </c>
      <c r="D334" s="1">
        <f>IF($A334="","",B334*((Inputs!$B$5+2)/100))</f>
        <v>16123.424420011555</v>
      </c>
      <c r="E334" s="37">
        <f>IF($A334="","",IFERROR(IF(OR(Inputs!$B$8&lt;=0,Inputs!$B$8=""),0,IF(AND($A334&gt;=Inputs!$B$8,MOD($A334,Inputs!$B$8)=0),Inputs!$B$7*(1+Inputs!$B$6/100)^$A334,0)),0))</f>
        <v>0</v>
      </c>
      <c r="F334" s="1">
        <f t="shared" si="38"/>
        <v>200072.58464236217</v>
      </c>
      <c r="G334" s="1">
        <f t="shared" si="39"/>
        <v>1</v>
      </c>
    </row>
    <row r="335" spans="1:7" ht="15.75" customHeight="1" x14ac:dyDescent="0.25">
      <c r="A335" s="1">
        <f>IF(28&lt;=Inputs!$B$3,28,"")</f>
        <v>28</v>
      </c>
      <c r="B335" s="1">
        <f t="shared" si="40"/>
        <v>200072.58464236217</v>
      </c>
      <c r="C335" s="1">
        <f>IF($A335="","",Inputs!$B$4*12*(1+Inputs!$B$10/100)^($A335-1))</f>
        <v>4800</v>
      </c>
      <c r="D335" s="1">
        <f>IF($A335="","",B335*((Inputs!$B$5+2)/100))</f>
        <v>18006.532617812594</v>
      </c>
      <c r="E335" s="37">
        <f>IF($A335="","",IFERROR(IF(OR(Inputs!$B$8&lt;=0,Inputs!$B$8=""),0,IF(AND($A335&gt;=Inputs!$B$8,MOD($A335,Inputs!$B$8)=0),Inputs!$B$7*(1+Inputs!$B$6/100)^$A335,0)),0))</f>
        <v>45758.553514745203</v>
      </c>
      <c r="F335" s="1">
        <f t="shared" si="38"/>
        <v>177120.56374542956</v>
      </c>
      <c r="G335" s="1">
        <f t="shared" si="39"/>
        <v>1</v>
      </c>
    </row>
    <row r="336" spans="1:7" ht="15.75" customHeight="1" x14ac:dyDescent="0.25">
      <c r="A336" s="1">
        <f>IF(29&lt;=Inputs!$B$3,29,"")</f>
        <v>29</v>
      </c>
      <c r="B336" s="1">
        <f t="shared" si="40"/>
        <v>177120.56374542956</v>
      </c>
      <c r="C336" s="1">
        <f>IF($A336="","",Inputs!$B$4*12*(1+Inputs!$B$10/100)^($A336-1))</f>
        <v>4800</v>
      </c>
      <c r="D336" s="1">
        <f>IF($A336="","",B336*((Inputs!$B$5+2)/100))</f>
        <v>15940.85073708866</v>
      </c>
      <c r="E336" s="37">
        <f>IF($A336="","",IFERROR(IF(OR(Inputs!$B$8&lt;=0,Inputs!$B$8=""),0,IF(AND($A336&gt;=Inputs!$B$8,MOD($A336,Inputs!$B$8)=0),Inputs!$B$7*(1+Inputs!$B$6/100)^$A336,0)),0))</f>
        <v>0</v>
      </c>
      <c r="F336" s="1">
        <f t="shared" si="38"/>
        <v>197861.41448251822</v>
      </c>
      <c r="G336" s="1">
        <f t="shared" si="39"/>
        <v>1</v>
      </c>
    </row>
    <row r="337" spans="1:7" ht="15.75" customHeight="1" x14ac:dyDescent="0.25">
      <c r="A337" s="1">
        <f>IF(30&lt;=Inputs!$B$3,30,"")</f>
        <v>30</v>
      </c>
      <c r="B337" s="1">
        <f t="shared" si="40"/>
        <v>197861.41448251822</v>
      </c>
      <c r="C337" s="1">
        <f>IF($A337="","",Inputs!$B$4*12*(1+Inputs!$B$10/100)^($A337-1))</f>
        <v>4800</v>
      </c>
      <c r="D337" s="1">
        <f>IF($A337="","",B337*((Inputs!$B$5+2)/100))</f>
        <v>17807.527303426639</v>
      </c>
      <c r="E337" s="37">
        <f>IF($A337="","",IFERROR(IF(OR(Inputs!$B$8&lt;=0,Inputs!$B$8=""),0,IF(AND($A337&gt;=Inputs!$B$8,MOD($A337,Inputs!$B$8)=0),Inputs!$B$7*(1+Inputs!$B$6/100)^$A337,0)),0))</f>
        <v>0</v>
      </c>
      <c r="F337" s="1">
        <f t="shared" si="38"/>
        <v>220468.94178594486</v>
      </c>
      <c r="G337" s="1">
        <f t="shared" si="39"/>
        <v>1</v>
      </c>
    </row>
    <row r="338" spans="1:7" ht="15.75" customHeight="1" x14ac:dyDescent="0.25">
      <c r="A338" s="1">
        <f>IF(31&lt;=Inputs!$B$3,31,"")</f>
        <v>31</v>
      </c>
      <c r="B338" s="1">
        <f t="shared" si="40"/>
        <v>220468.94178594486</v>
      </c>
      <c r="C338" s="1">
        <f>IF($A338="","",Inputs!$B$4*12*(1+Inputs!$B$10/100)^($A338-1))</f>
        <v>4800</v>
      </c>
      <c r="D338" s="1">
        <f>IF($A338="","",B338*((Inputs!$B$5+2)/100))</f>
        <v>19842.204760735036</v>
      </c>
      <c r="E338" s="37">
        <f>IF($A338="","",IFERROR(IF(OR(Inputs!$B$8&lt;=0,Inputs!$B$8=""),0,IF(AND($A338&gt;=Inputs!$B$8,MOD($A338,Inputs!$B$8)=0),Inputs!$B$7*(1+Inputs!$B$6/100)^$A338,0)),0))</f>
        <v>0</v>
      </c>
      <c r="F338" s="1">
        <f t="shared" si="38"/>
        <v>245111.1465466799</v>
      </c>
      <c r="G338" s="1">
        <f t="shared" si="39"/>
        <v>1</v>
      </c>
    </row>
    <row r="339" spans="1:7" ht="15.75" customHeight="1" x14ac:dyDescent="0.25">
      <c r="A339" s="1">
        <f>IF(32&lt;=Inputs!$B$3,32,"")</f>
        <v>32</v>
      </c>
      <c r="B339" s="1">
        <f t="shared" si="40"/>
        <v>245111.1465466799</v>
      </c>
      <c r="C339" s="1">
        <f>IF($A339="","",Inputs!$B$4*12*(1+Inputs!$B$10/100)^($A339-1))</f>
        <v>4800</v>
      </c>
      <c r="D339" s="1">
        <f>IF($A339="","",B339*((Inputs!$B$5+2)/100))</f>
        <v>22060.00318920119</v>
      </c>
      <c r="E339" s="37">
        <f>IF($A339="","",IFERROR(IF(OR(Inputs!$B$8&lt;=0,Inputs!$B$8=""),0,IF(AND($A339&gt;=Inputs!$B$8,MOD($A339,Inputs!$B$8)=0),Inputs!$B$7*(1+Inputs!$B$6/100)^$A339,0)),0))</f>
        <v>0</v>
      </c>
      <c r="F339" s="1">
        <f t="shared" si="38"/>
        <v>271971.14973588107</v>
      </c>
      <c r="G339" s="1">
        <f t="shared" si="39"/>
        <v>1</v>
      </c>
    </row>
    <row r="340" spans="1:7" ht="15.75" customHeight="1" x14ac:dyDescent="0.25">
      <c r="A340" s="1">
        <f>IF(33&lt;=Inputs!$B$3,33,"")</f>
        <v>33</v>
      </c>
      <c r="B340" s="1">
        <f t="shared" si="40"/>
        <v>271971.14973588107</v>
      </c>
      <c r="C340" s="1">
        <f>IF($A340="","",Inputs!$B$4*12*(1+Inputs!$B$10/100)^($A340-1))</f>
        <v>4800</v>
      </c>
      <c r="D340" s="1">
        <f>IF($A340="","",B340*((Inputs!$B$5+2)/100))</f>
        <v>24477.403476229294</v>
      </c>
      <c r="E340" s="37">
        <f>IF($A340="","",IFERROR(IF(OR(Inputs!$B$8&lt;=0,Inputs!$B$8=""),0,IF(AND($A340&gt;=Inputs!$B$8,MOD($A340,Inputs!$B$8)=0),Inputs!$B$7*(1+Inputs!$B$6/100)^$A340,0)),0))</f>
        <v>0</v>
      </c>
      <c r="F340" s="1">
        <f t="shared" ref="F340:F371" si="41">IF($A340="","",IFERROR(B340+C340+D340-E340,0))</f>
        <v>301248.55321211036</v>
      </c>
      <c r="G340" s="1">
        <f t="shared" ref="G340:G371" si="42">IF($A340="",0,IF(IFERROR(D340,0)&gt;IFERROR(C340,0),1,0))</f>
        <v>1</v>
      </c>
    </row>
    <row r="341" spans="1:7" ht="15.75" customHeight="1" x14ac:dyDescent="0.25">
      <c r="A341" s="1">
        <f>IF(34&lt;=Inputs!$B$3,34,"")</f>
        <v>34</v>
      </c>
      <c r="B341" s="1">
        <f t="shared" ref="B341:B372" si="43">IF($A341="","",IFERROR(F340,0))</f>
        <v>301248.55321211036</v>
      </c>
      <c r="C341" s="1">
        <f>IF($A341="","",Inputs!$B$4*12*(1+Inputs!$B$10/100)^($A341-1))</f>
        <v>4800</v>
      </c>
      <c r="D341" s="1">
        <f>IF($A341="","",B341*((Inputs!$B$5+2)/100))</f>
        <v>27112.369789089931</v>
      </c>
      <c r="E341" s="37">
        <f>IF($A341="","",IFERROR(IF(OR(Inputs!$B$8&lt;=0,Inputs!$B$8=""),0,IF(AND($A341&gt;=Inputs!$B$8,MOD($A341,Inputs!$B$8)=0),Inputs!$B$7*(1+Inputs!$B$6/100)^$A341,0)),0))</f>
        <v>0</v>
      </c>
      <c r="F341" s="1">
        <f t="shared" si="41"/>
        <v>333160.92300120031</v>
      </c>
      <c r="G341" s="1">
        <f t="shared" si="42"/>
        <v>1</v>
      </c>
    </row>
    <row r="342" spans="1:7" ht="15.75" customHeight="1" x14ac:dyDescent="0.25">
      <c r="A342" s="1">
        <f>IF(35&lt;=Inputs!$B$3,35,"")</f>
        <v>35</v>
      </c>
      <c r="B342" s="1">
        <f t="shared" si="43"/>
        <v>333160.92300120031</v>
      </c>
      <c r="C342" s="1">
        <f>IF($A342="","",Inputs!$B$4*12*(1+Inputs!$B$10/100)^($A342-1))</f>
        <v>4800</v>
      </c>
      <c r="D342" s="1">
        <f>IF($A342="","",B342*((Inputs!$B$5+2)/100))</f>
        <v>29984.483070108028</v>
      </c>
      <c r="E342" s="37">
        <f>IF($A342="","",IFERROR(IF(OR(Inputs!$B$8&lt;=0,Inputs!$B$8=""),0,IF(AND($A342&gt;=Inputs!$B$8,MOD($A342,Inputs!$B$8)=0),Inputs!$B$7*(1+Inputs!$B$6/100)^$A342,0)),0))</f>
        <v>56277.249087430449</v>
      </c>
      <c r="F342" s="1">
        <f t="shared" si="41"/>
        <v>311668.15698387788</v>
      </c>
      <c r="G342" s="1">
        <f t="shared" si="42"/>
        <v>1</v>
      </c>
    </row>
    <row r="343" spans="1:7" ht="15.75" customHeight="1" x14ac:dyDescent="0.25">
      <c r="A343" s="1">
        <f>IF(36&lt;=Inputs!$B$3,36,"")</f>
        <v>36</v>
      </c>
      <c r="B343" s="1">
        <f t="shared" si="43"/>
        <v>311668.15698387788</v>
      </c>
      <c r="C343" s="1">
        <f>IF($A343="","",Inputs!$B$4*12*(1+Inputs!$B$10/100)^($A343-1))</f>
        <v>4800</v>
      </c>
      <c r="D343" s="1">
        <f>IF($A343="","",B343*((Inputs!$B$5+2)/100))</f>
        <v>28050.134128549009</v>
      </c>
      <c r="E343" s="37">
        <f>IF($A343="","",IFERROR(IF(OR(Inputs!$B$8&lt;=0,Inputs!$B$8=""),0,IF(AND($A343&gt;=Inputs!$B$8,MOD($A343,Inputs!$B$8)=0),Inputs!$B$7*(1+Inputs!$B$6/100)^$A343,0)),0))</f>
        <v>0</v>
      </c>
      <c r="F343" s="1">
        <f t="shared" si="41"/>
        <v>344518.2911124269</v>
      </c>
      <c r="G343" s="1">
        <f t="shared" si="42"/>
        <v>1</v>
      </c>
    </row>
    <row r="344" spans="1:7" ht="15.75" customHeight="1" x14ac:dyDescent="0.25">
      <c r="A344" s="1">
        <f>IF(37&lt;=Inputs!$B$3,37,"")</f>
        <v>37</v>
      </c>
      <c r="B344" s="1">
        <f t="shared" si="43"/>
        <v>344518.2911124269</v>
      </c>
      <c r="C344" s="1">
        <f>IF($A344="","",Inputs!$B$4*12*(1+Inputs!$B$10/100)^($A344-1))</f>
        <v>4800</v>
      </c>
      <c r="D344" s="1">
        <f>IF($A344="","",B344*((Inputs!$B$5+2)/100))</f>
        <v>31006.646200118419</v>
      </c>
      <c r="E344" s="37">
        <f>IF($A344="","",IFERROR(IF(OR(Inputs!$B$8&lt;=0,Inputs!$B$8=""),0,IF(AND($A344&gt;=Inputs!$B$8,MOD($A344,Inputs!$B$8)=0),Inputs!$B$7*(1+Inputs!$B$6/100)^$A344,0)),0))</f>
        <v>0</v>
      </c>
      <c r="F344" s="1">
        <f t="shared" si="41"/>
        <v>380324.93731254531</v>
      </c>
      <c r="G344" s="1">
        <f t="shared" si="42"/>
        <v>1</v>
      </c>
    </row>
    <row r="345" spans="1:7" ht="15.75" customHeight="1" x14ac:dyDescent="0.25">
      <c r="A345" s="1" t="str">
        <f>IF(38&lt;=Inputs!$B$3,38,"")</f>
        <v/>
      </c>
      <c r="B345" s="1" t="str">
        <f t="shared" si="43"/>
        <v/>
      </c>
      <c r="C345" s="1" t="str">
        <f>IF($A345="","",Inputs!$B$4*12*(1+Inputs!$B$10/100)^($A345-1))</f>
        <v/>
      </c>
      <c r="D345" s="1" t="str">
        <f>IF($A345="","",B345*((Inputs!$B$5+2)/100))</f>
        <v/>
      </c>
      <c r="E345" s="37" t="str">
        <f>IF($A345="","",IFERROR(IF(OR(Inputs!$B$8&lt;=0,Inputs!$B$8=""),0,IF(AND($A345&gt;=Inputs!$B$8,MOD($A345,Inputs!$B$8)=0),Inputs!$B$7*(1+Inputs!$B$6/100)^$A345,0)),0))</f>
        <v/>
      </c>
      <c r="F345" s="1" t="str">
        <f t="shared" si="41"/>
        <v/>
      </c>
      <c r="G345" s="1">
        <f t="shared" si="42"/>
        <v>0</v>
      </c>
    </row>
    <row r="346" spans="1:7" ht="15.75" customHeight="1" x14ac:dyDescent="0.25">
      <c r="A346" s="1" t="str">
        <f>IF(39&lt;=Inputs!$B$3,39,"")</f>
        <v/>
      </c>
      <c r="B346" s="1" t="str">
        <f t="shared" si="43"/>
        <v/>
      </c>
      <c r="C346" s="1" t="str">
        <f>IF($A346="","",Inputs!$B$4*12*(1+Inputs!$B$10/100)^($A346-1))</f>
        <v/>
      </c>
      <c r="D346" s="1" t="str">
        <f>IF($A346="","",B346*((Inputs!$B$5+2)/100))</f>
        <v/>
      </c>
      <c r="E346" s="37" t="str">
        <f>IF($A346="","",IFERROR(IF(OR(Inputs!$B$8&lt;=0,Inputs!$B$8=""),0,IF(AND($A346&gt;=Inputs!$B$8,MOD($A346,Inputs!$B$8)=0),Inputs!$B$7*(1+Inputs!$B$6/100)^$A346,0)),0))</f>
        <v/>
      </c>
      <c r="F346" s="1" t="str">
        <f t="shared" si="41"/>
        <v/>
      </c>
      <c r="G346" s="1">
        <f t="shared" si="42"/>
        <v>0</v>
      </c>
    </row>
    <row r="347" spans="1:7" ht="15.75" customHeight="1" x14ac:dyDescent="0.25">
      <c r="A347" s="1" t="str">
        <f>IF(40&lt;=Inputs!$B$3,40,"")</f>
        <v/>
      </c>
      <c r="B347" s="1" t="str">
        <f t="shared" si="43"/>
        <v/>
      </c>
      <c r="C347" s="1" t="str">
        <f>IF($A347="","",Inputs!$B$4*12*(1+Inputs!$B$10/100)^($A347-1))</f>
        <v/>
      </c>
      <c r="D347" s="1" t="str">
        <f>IF($A347="","",B347*((Inputs!$B$5+2)/100))</f>
        <v/>
      </c>
      <c r="E347" s="37" t="str">
        <f>IF($A347="","",IFERROR(IF(OR(Inputs!$B$8&lt;=0,Inputs!$B$8=""),0,IF(AND($A347&gt;=Inputs!$B$8,MOD($A347,Inputs!$B$8)=0),Inputs!$B$7*(1+Inputs!$B$6/100)^$A347,0)),0))</f>
        <v/>
      </c>
      <c r="F347" s="1" t="str">
        <f t="shared" si="41"/>
        <v/>
      </c>
      <c r="G347" s="1">
        <f t="shared" si="42"/>
        <v>0</v>
      </c>
    </row>
    <row r="348" spans="1:7" ht="15.75" customHeight="1" x14ac:dyDescent="0.25">
      <c r="A348" s="1" t="str">
        <f>IF(41&lt;=Inputs!$B$3,41,"")</f>
        <v/>
      </c>
      <c r="B348" s="1" t="str">
        <f t="shared" si="43"/>
        <v/>
      </c>
      <c r="C348" s="1" t="str">
        <f>IF($A348="","",Inputs!$B$4*12*(1+Inputs!$B$10/100)^($A348-1))</f>
        <v/>
      </c>
      <c r="D348" s="1" t="str">
        <f>IF($A348="","",B348*((Inputs!$B$5+2)/100))</f>
        <v/>
      </c>
      <c r="E348" s="37" t="str">
        <f>IF($A348="","",IFERROR(IF(OR(Inputs!$B$8&lt;=0,Inputs!$B$8=""),0,IF(AND($A348&gt;=Inputs!$B$8,MOD($A348,Inputs!$B$8)=0),Inputs!$B$7*(1+Inputs!$B$6/100)^$A348,0)),0))</f>
        <v/>
      </c>
      <c r="F348" s="1" t="str">
        <f t="shared" si="41"/>
        <v/>
      </c>
      <c r="G348" s="1">
        <f t="shared" si="42"/>
        <v>0</v>
      </c>
    </row>
    <row r="349" spans="1:7" ht="15.75" customHeight="1" x14ac:dyDescent="0.25">
      <c r="A349" s="1" t="str">
        <f>IF(42&lt;=Inputs!$B$3,42,"")</f>
        <v/>
      </c>
      <c r="B349" s="1" t="str">
        <f t="shared" si="43"/>
        <v/>
      </c>
      <c r="C349" s="1" t="str">
        <f>IF($A349="","",Inputs!$B$4*12*(1+Inputs!$B$10/100)^($A349-1))</f>
        <v/>
      </c>
      <c r="D349" s="1" t="str">
        <f>IF($A349="","",B349*((Inputs!$B$5+2)/100))</f>
        <v/>
      </c>
      <c r="E349" s="37" t="str">
        <f>IF($A349="","",IFERROR(IF(OR(Inputs!$B$8&lt;=0,Inputs!$B$8=""),0,IF(AND($A349&gt;=Inputs!$B$8,MOD($A349,Inputs!$B$8)=0),Inputs!$B$7*(1+Inputs!$B$6/100)^$A349,0)),0))</f>
        <v/>
      </c>
      <c r="F349" s="1" t="str">
        <f t="shared" si="41"/>
        <v/>
      </c>
      <c r="G349" s="1">
        <f t="shared" si="42"/>
        <v>0</v>
      </c>
    </row>
    <row r="350" spans="1:7" ht="15.75" customHeight="1" x14ac:dyDescent="0.25">
      <c r="A350" s="1" t="str">
        <f>IF(43&lt;=Inputs!$B$3,43,"")</f>
        <v/>
      </c>
      <c r="B350" s="1" t="str">
        <f t="shared" si="43"/>
        <v/>
      </c>
      <c r="C350" s="1" t="str">
        <f>IF($A350="","",Inputs!$B$4*12*(1+Inputs!$B$10/100)^($A350-1))</f>
        <v/>
      </c>
      <c r="D350" s="1" t="str">
        <f>IF($A350="","",B350*((Inputs!$B$5+2)/100))</f>
        <v/>
      </c>
      <c r="E350" s="37" t="str">
        <f>IF($A350="","",IFERROR(IF(OR(Inputs!$B$8&lt;=0,Inputs!$B$8=""),0,IF(AND($A350&gt;=Inputs!$B$8,MOD($A350,Inputs!$B$8)=0),Inputs!$B$7*(1+Inputs!$B$6/100)^$A350,0)),0))</f>
        <v/>
      </c>
      <c r="F350" s="1" t="str">
        <f t="shared" si="41"/>
        <v/>
      </c>
      <c r="G350" s="1">
        <f t="shared" si="42"/>
        <v>0</v>
      </c>
    </row>
    <row r="351" spans="1:7" ht="15.75" customHeight="1" x14ac:dyDescent="0.25">
      <c r="A351" s="1" t="str">
        <f>IF(44&lt;=Inputs!$B$3,44,"")</f>
        <v/>
      </c>
      <c r="B351" s="1" t="str">
        <f t="shared" si="43"/>
        <v/>
      </c>
      <c r="C351" s="1" t="str">
        <f>IF($A351="","",Inputs!$B$4*12*(1+Inputs!$B$10/100)^($A351-1))</f>
        <v/>
      </c>
      <c r="D351" s="1" t="str">
        <f>IF($A351="","",B351*((Inputs!$B$5+2)/100))</f>
        <v/>
      </c>
      <c r="E351" s="37" t="str">
        <f>IF($A351="","",IFERROR(IF(OR(Inputs!$B$8&lt;=0,Inputs!$B$8=""),0,IF(AND($A351&gt;=Inputs!$B$8,MOD($A351,Inputs!$B$8)=0),Inputs!$B$7*(1+Inputs!$B$6/100)^$A351,0)),0))</f>
        <v/>
      </c>
      <c r="F351" s="1" t="str">
        <f t="shared" si="41"/>
        <v/>
      </c>
      <c r="G351" s="1">
        <f t="shared" si="42"/>
        <v>0</v>
      </c>
    </row>
    <row r="352" spans="1:7" ht="15.75" customHeight="1" x14ac:dyDescent="0.25">
      <c r="A352" s="1" t="str">
        <f>IF(45&lt;=Inputs!$B$3,45,"")</f>
        <v/>
      </c>
      <c r="B352" s="1" t="str">
        <f t="shared" si="43"/>
        <v/>
      </c>
      <c r="C352" s="1" t="str">
        <f>IF($A352="","",Inputs!$B$4*12*(1+Inputs!$B$10/100)^($A352-1))</f>
        <v/>
      </c>
      <c r="D352" s="1" t="str">
        <f>IF($A352="","",B352*((Inputs!$B$5+2)/100))</f>
        <v/>
      </c>
      <c r="E352" s="37" t="str">
        <f>IF($A352="","",IFERROR(IF(OR(Inputs!$B$8&lt;=0,Inputs!$B$8=""),0,IF(AND($A352&gt;=Inputs!$B$8,MOD($A352,Inputs!$B$8)=0),Inputs!$B$7*(1+Inputs!$B$6/100)^$A352,0)),0))</f>
        <v/>
      </c>
      <c r="F352" s="1" t="str">
        <f t="shared" si="41"/>
        <v/>
      </c>
      <c r="G352" s="1">
        <f t="shared" si="42"/>
        <v>0</v>
      </c>
    </row>
    <row r="353" spans="1:7" ht="15.75" customHeight="1" x14ac:dyDescent="0.25">
      <c r="A353" s="1" t="str">
        <f>IF(46&lt;=Inputs!$B$3,46,"")</f>
        <v/>
      </c>
      <c r="B353" s="1" t="str">
        <f t="shared" si="43"/>
        <v/>
      </c>
      <c r="C353" s="1" t="str">
        <f>IF($A353="","",Inputs!$B$4*12*(1+Inputs!$B$10/100)^($A353-1))</f>
        <v/>
      </c>
      <c r="D353" s="1" t="str">
        <f>IF($A353="","",B353*((Inputs!$B$5+2)/100))</f>
        <v/>
      </c>
      <c r="E353" s="37" t="str">
        <f>IF($A353="","",IFERROR(IF(OR(Inputs!$B$8&lt;=0,Inputs!$B$8=""),0,IF(AND($A353&gt;=Inputs!$B$8,MOD($A353,Inputs!$B$8)=0),Inputs!$B$7*(1+Inputs!$B$6/100)^$A353,0)),0))</f>
        <v/>
      </c>
      <c r="F353" s="1" t="str">
        <f t="shared" si="41"/>
        <v/>
      </c>
      <c r="G353" s="1">
        <f t="shared" si="42"/>
        <v>0</v>
      </c>
    </row>
    <row r="354" spans="1:7" ht="15.75" customHeight="1" x14ac:dyDescent="0.25">
      <c r="A354" s="1" t="str">
        <f>IF(47&lt;=Inputs!$B$3,47,"")</f>
        <v/>
      </c>
      <c r="B354" s="1" t="str">
        <f t="shared" si="43"/>
        <v/>
      </c>
      <c r="C354" s="1" t="str">
        <f>IF($A354="","",Inputs!$B$4*12*(1+Inputs!$B$10/100)^($A354-1))</f>
        <v/>
      </c>
      <c r="D354" s="1" t="str">
        <f>IF($A354="","",B354*((Inputs!$B$5+2)/100))</f>
        <v/>
      </c>
      <c r="E354" s="37" t="str">
        <f>IF($A354="","",IFERROR(IF(OR(Inputs!$B$8&lt;=0,Inputs!$B$8=""),0,IF(AND($A354&gt;=Inputs!$B$8,MOD($A354,Inputs!$B$8)=0),Inputs!$B$7*(1+Inputs!$B$6/100)^$A354,0)),0))</f>
        <v/>
      </c>
      <c r="F354" s="1" t="str">
        <f t="shared" si="41"/>
        <v/>
      </c>
      <c r="G354" s="1">
        <f t="shared" si="42"/>
        <v>0</v>
      </c>
    </row>
    <row r="355" spans="1:7" ht="15.75" customHeight="1" x14ac:dyDescent="0.25">
      <c r="A355" s="1" t="str">
        <f>IF(48&lt;=Inputs!$B$3,48,"")</f>
        <v/>
      </c>
      <c r="B355" s="1" t="str">
        <f t="shared" si="43"/>
        <v/>
      </c>
      <c r="C355" s="1" t="str">
        <f>IF($A355="","",Inputs!$B$4*12*(1+Inputs!$B$10/100)^($A355-1))</f>
        <v/>
      </c>
      <c r="D355" s="1" t="str">
        <f>IF($A355="","",B355*((Inputs!$B$5+2)/100))</f>
        <v/>
      </c>
      <c r="E355" s="37" t="str">
        <f>IF($A355="","",IFERROR(IF(OR(Inputs!$B$8&lt;=0,Inputs!$B$8=""),0,IF(AND($A355&gt;=Inputs!$B$8,MOD($A355,Inputs!$B$8)=0),Inputs!$B$7*(1+Inputs!$B$6/100)^$A355,0)),0))</f>
        <v/>
      </c>
      <c r="F355" s="1" t="str">
        <f t="shared" si="41"/>
        <v/>
      </c>
      <c r="G355" s="1">
        <f t="shared" si="42"/>
        <v>0</v>
      </c>
    </row>
    <row r="356" spans="1:7" ht="15.75" customHeight="1" x14ac:dyDescent="0.25">
      <c r="A356" s="1" t="str">
        <f>IF(49&lt;=Inputs!$B$3,49,"")</f>
        <v/>
      </c>
      <c r="B356" s="1" t="str">
        <f t="shared" si="43"/>
        <v/>
      </c>
      <c r="C356" s="1" t="str">
        <f>IF($A356="","",Inputs!$B$4*12*(1+Inputs!$B$10/100)^($A356-1))</f>
        <v/>
      </c>
      <c r="D356" s="1" t="str">
        <f>IF($A356="","",B356*((Inputs!$B$5+2)/100))</f>
        <v/>
      </c>
      <c r="E356" s="37" t="str">
        <f>IF($A356="","",IFERROR(IF(OR(Inputs!$B$8&lt;=0,Inputs!$B$8=""),0,IF(AND($A356&gt;=Inputs!$B$8,MOD($A356,Inputs!$B$8)=0),Inputs!$B$7*(1+Inputs!$B$6/100)^$A356,0)),0))</f>
        <v/>
      </c>
      <c r="F356" s="1" t="str">
        <f t="shared" si="41"/>
        <v/>
      </c>
      <c r="G356" s="1">
        <f t="shared" si="42"/>
        <v>0</v>
      </c>
    </row>
    <row r="357" spans="1:7" ht="15.75" customHeight="1" x14ac:dyDescent="0.25">
      <c r="A357" s="1" t="str">
        <f>IF(50&lt;=Inputs!$B$3,50,"")</f>
        <v/>
      </c>
      <c r="B357" s="1" t="str">
        <f t="shared" si="43"/>
        <v/>
      </c>
      <c r="C357" s="1" t="str">
        <f>IF($A357="","",Inputs!$B$4*12*(1+Inputs!$B$10/100)^($A357-1))</f>
        <v/>
      </c>
      <c r="D357" s="1" t="str">
        <f>IF($A357="","",B357*((Inputs!$B$5+2)/100))</f>
        <v/>
      </c>
      <c r="E357" s="37" t="str">
        <f>IF($A357="","",IFERROR(IF(OR(Inputs!$B$8&lt;=0,Inputs!$B$8=""),0,IF(AND($A357&gt;=Inputs!$B$8,MOD($A357,Inputs!$B$8)=0),Inputs!$B$7*(1+Inputs!$B$6/100)^$A357,0)),0))</f>
        <v/>
      </c>
      <c r="F357" s="1" t="str">
        <f t="shared" si="41"/>
        <v/>
      </c>
      <c r="G357" s="1">
        <f t="shared" si="42"/>
        <v>0</v>
      </c>
    </row>
    <row r="358" spans="1:7" ht="15.75" customHeight="1" x14ac:dyDescent="0.25">
      <c r="A358" s="1" t="str">
        <f>IF(51&lt;=Inputs!$B$3,51,"")</f>
        <v/>
      </c>
      <c r="B358" s="1" t="str">
        <f t="shared" si="43"/>
        <v/>
      </c>
      <c r="C358" s="1" t="str">
        <f>IF($A358="","",Inputs!$B$4*12*(1+Inputs!$B$10/100)^($A358-1))</f>
        <v/>
      </c>
      <c r="D358" s="1" t="str">
        <f>IF($A358="","",B358*((Inputs!$B$5+2)/100))</f>
        <v/>
      </c>
      <c r="E358" s="37" t="str">
        <f>IF($A358="","",IFERROR(IF(OR(Inputs!$B$8&lt;=0,Inputs!$B$8=""),0,IF(AND($A358&gt;=Inputs!$B$8,MOD($A358,Inputs!$B$8)=0),Inputs!$B$7*(1+Inputs!$B$6/100)^$A358,0)),0))</f>
        <v/>
      </c>
      <c r="F358" s="1" t="str">
        <f t="shared" si="41"/>
        <v/>
      </c>
      <c r="G358" s="1">
        <f t="shared" si="42"/>
        <v>0</v>
      </c>
    </row>
    <row r="359" spans="1:7" ht="15.75" customHeight="1" x14ac:dyDescent="0.25">
      <c r="A359" s="1" t="str">
        <f>IF(52&lt;=Inputs!$B$3,52,"")</f>
        <v/>
      </c>
      <c r="B359" s="1" t="str">
        <f t="shared" si="43"/>
        <v/>
      </c>
      <c r="C359" s="1" t="str">
        <f>IF($A359="","",Inputs!$B$4*12*(1+Inputs!$B$10/100)^($A359-1))</f>
        <v/>
      </c>
      <c r="D359" s="1" t="str">
        <f>IF($A359="","",B359*((Inputs!$B$5+2)/100))</f>
        <v/>
      </c>
      <c r="E359" s="37" t="str">
        <f>IF($A359="","",IFERROR(IF(OR(Inputs!$B$8&lt;=0,Inputs!$B$8=""),0,IF(AND($A359&gt;=Inputs!$B$8,MOD($A359,Inputs!$B$8)=0),Inputs!$B$7*(1+Inputs!$B$6/100)^$A359,0)),0))</f>
        <v/>
      </c>
      <c r="F359" s="1" t="str">
        <f t="shared" si="41"/>
        <v/>
      </c>
      <c r="G359" s="1">
        <f t="shared" si="42"/>
        <v>0</v>
      </c>
    </row>
    <row r="360" spans="1:7" ht="15.75" customHeight="1" x14ac:dyDescent="0.25">
      <c r="A360" s="1" t="str">
        <f>IF(53&lt;=Inputs!$B$3,53,"")</f>
        <v/>
      </c>
      <c r="B360" s="1" t="str">
        <f t="shared" si="43"/>
        <v/>
      </c>
      <c r="C360" s="1" t="str">
        <f>IF($A360="","",Inputs!$B$4*12*(1+Inputs!$B$10/100)^($A360-1))</f>
        <v/>
      </c>
      <c r="D360" s="1" t="str">
        <f>IF($A360="","",B360*((Inputs!$B$5+2)/100))</f>
        <v/>
      </c>
      <c r="E360" s="37" t="str">
        <f>IF($A360="","",IFERROR(IF(OR(Inputs!$B$8&lt;=0,Inputs!$B$8=""),0,IF(AND($A360&gt;=Inputs!$B$8,MOD($A360,Inputs!$B$8)=0),Inputs!$B$7*(1+Inputs!$B$6/100)^$A360,0)),0))</f>
        <v/>
      </c>
      <c r="F360" s="1" t="str">
        <f t="shared" si="41"/>
        <v/>
      </c>
      <c r="G360" s="1">
        <f t="shared" si="42"/>
        <v>0</v>
      </c>
    </row>
    <row r="361" spans="1:7" ht="15.75" customHeight="1" x14ac:dyDescent="0.25">
      <c r="A361" s="1" t="str">
        <f>IF(54&lt;=Inputs!$B$3,54,"")</f>
        <v/>
      </c>
      <c r="B361" s="1" t="str">
        <f t="shared" si="43"/>
        <v/>
      </c>
      <c r="C361" s="1" t="str">
        <f>IF($A361="","",Inputs!$B$4*12*(1+Inputs!$B$10/100)^($A361-1))</f>
        <v/>
      </c>
      <c r="D361" s="1" t="str">
        <f>IF($A361="","",B361*((Inputs!$B$5+2)/100))</f>
        <v/>
      </c>
      <c r="E361" s="37" t="str">
        <f>IF($A361="","",IFERROR(IF(OR(Inputs!$B$8&lt;=0,Inputs!$B$8=""),0,IF(AND($A361&gt;=Inputs!$B$8,MOD($A361,Inputs!$B$8)=0),Inputs!$B$7*(1+Inputs!$B$6/100)^$A361,0)),0))</f>
        <v/>
      </c>
      <c r="F361" s="1" t="str">
        <f t="shared" si="41"/>
        <v/>
      </c>
      <c r="G361" s="1">
        <f t="shared" si="42"/>
        <v>0</v>
      </c>
    </row>
    <row r="362" spans="1:7" ht="15.75" customHeight="1" x14ac:dyDescent="0.25">
      <c r="A362" s="1" t="str">
        <f>IF(55&lt;=Inputs!$B$3,55,"")</f>
        <v/>
      </c>
      <c r="B362" s="1" t="str">
        <f t="shared" si="43"/>
        <v/>
      </c>
      <c r="C362" s="1" t="str">
        <f>IF($A362="","",Inputs!$B$4*12*(1+Inputs!$B$10/100)^($A362-1))</f>
        <v/>
      </c>
      <c r="D362" s="1" t="str">
        <f>IF($A362="","",B362*((Inputs!$B$5+2)/100))</f>
        <v/>
      </c>
      <c r="E362" s="37" t="str">
        <f>IF($A362="","",IFERROR(IF(OR(Inputs!$B$8&lt;=0,Inputs!$B$8=""),0,IF(AND($A362&gt;=Inputs!$B$8,MOD($A362,Inputs!$B$8)=0),Inputs!$B$7*(1+Inputs!$B$6/100)^$A362,0)),0))</f>
        <v/>
      </c>
      <c r="F362" s="1" t="str">
        <f t="shared" si="41"/>
        <v/>
      </c>
      <c r="G362" s="1">
        <f t="shared" si="42"/>
        <v>0</v>
      </c>
    </row>
    <row r="363" spans="1:7" ht="15.75" customHeight="1" x14ac:dyDescent="0.25">
      <c r="A363" s="1" t="str">
        <f>IF(56&lt;=Inputs!$B$3,56,"")</f>
        <v/>
      </c>
      <c r="B363" s="1" t="str">
        <f t="shared" si="43"/>
        <v/>
      </c>
      <c r="C363" s="1" t="str">
        <f>IF($A363="","",Inputs!$B$4*12*(1+Inputs!$B$10/100)^($A363-1))</f>
        <v/>
      </c>
      <c r="D363" s="1" t="str">
        <f>IF($A363="","",B363*((Inputs!$B$5+2)/100))</f>
        <v/>
      </c>
      <c r="E363" s="37" t="str">
        <f>IF($A363="","",IFERROR(IF(OR(Inputs!$B$8&lt;=0,Inputs!$B$8=""),0,IF(AND($A363&gt;=Inputs!$B$8,MOD($A363,Inputs!$B$8)=0),Inputs!$B$7*(1+Inputs!$B$6/100)^$A363,0)),0))</f>
        <v/>
      </c>
      <c r="F363" s="1" t="str">
        <f t="shared" si="41"/>
        <v/>
      </c>
      <c r="G363" s="1">
        <f t="shared" si="42"/>
        <v>0</v>
      </c>
    </row>
    <row r="364" spans="1:7" ht="15.75" customHeight="1" x14ac:dyDescent="0.25">
      <c r="A364" s="1" t="str">
        <f>IF(57&lt;=Inputs!$B$3,57,"")</f>
        <v/>
      </c>
      <c r="B364" s="1" t="str">
        <f t="shared" si="43"/>
        <v/>
      </c>
      <c r="C364" s="1" t="str">
        <f>IF($A364="","",Inputs!$B$4*12*(1+Inputs!$B$10/100)^($A364-1))</f>
        <v/>
      </c>
      <c r="D364" s="1" t="str">
        <f>IF($A364="","",B364*((Inputs!$B$5+2)/100))</f>
        <v/>
      </c>
      <c r="E364" s="37" t="str">
        <f>IF($A364="","",IFERROR(IF(OR(Inputs!$B$8&lt;=0,Inputs!$B$8=""),0,IF(AND($A364&gt;=Inputs!$B$8,MOD($A364,Inputs!$B$8)=0),Inputs!$B$7*(1+Inputs!$B$6/100)^$A364,0)),0))</f>
        <v/>
      </c>
      <c r="F364" s="1" t="str">
        <f t="shared" si="41"/>
        <v/>
      </c>
      <c r="G364" s="1">
        <f t="shared" si="42"/>
        <v>0</v>
      </c>
    </row>
    <row r="365" spans="1:7" ht="15.75" customHeight="1" x14ac:dyDescent="0.25">
      <c r="A365" s="1" t="str">
        <f>IF(58&lt;=Inputs!$B$3,58,"")</f>
        <v/>
      </c>
      <c r="B365" s="1" t="str">
        <f t="shared" si="43"/>
        <v/>
      </c>
      <c r="C365" s="1" t="str">
        <f>IF($A365="","",Inputs!$B$4*12*(1+Inputs!$B$10/100)^($A365-1))</f>
        <v/>
      </c>
      <c r="D365" s="1" t="str">
        <f>IF($A365="","",B365*((Inputs!$B$5+2)/100))</f>
        <v/>
      </c>
      <c r="E365" s="37" t="str">
        <f>IF($A365="","",IFERROR(IF(OR(Inputs!$B$8&lt;=0,Inputs!$B$8=""),0,IF(AND($A365&gt;=Inputs!$B$8,MOD($A365,Inputs!$B$8)=0),Inputs!$B$7*(1+Inputs!$B$6/100)^$A365,0)),0))</f>
        <v/>
      </c>
      <c r="F365" s="1" t="str">
        <f t="shared" si="41"/>
        <v/>
      </c>
      <c r="G365" s="1">
        <f t="shared" si="42"/>
        <v>0</v>
      </c>
    </row>
    <row r="366" spans="1:7" ht="15.75" customHeight="1" x14ac:dyDescent="0.25">
      <c r="A366" s="1" t="str">
        <f>IF(59&lt;=Inputs!$B$3,59,"")</f>
        <v/>
      </c>
      <c r="B366" s="1" t="str">
        <f t="shared" si="43"/>
        <v/>
      </c>
      <c r="C366" s="1" t="str">
        <f>IF($A366="","",Inputs!$B$4*12*(1+Inputs!$B$10/100)^($A366-1))</f>
        <v/>
      </c>
      <c r="D366" s="1" t="str">
        <f>IF($A366="","",B366*((Inputs!$B$5+2)/100))</f>
        <v/>
      </c>
      <c r="E366" s="37" t="str">
        <f>IF($A366="","",IFERROR(IF(OR(Inputs!$B$8&lt;=0,Inputs!$B$8=""),0,IF(AND($A366&gt;=Inputs!$B$8,MOD($A366,Inputs!$B$8)=0),Inputs!$B$7*(1+Inputs!$B$6/100)^$A366,0)),0))</f>
        <v/>
      </c>
      <c r="F366" s="1" t="str">
        <f t="shared" si="41"/>
        <v/>
      </c>
      <c r="G366" s="1">
        <f t="shared" si="42"/>
        <v>0</v>
      </c>
    </row>
    <row r="367" spans="1:7" ht="15.75" customHeight="1" x14ac:dyDescent="0.25">
      <c r="A367" s="1" t="str">
        <f>IF(60&lt;=Inputs!$B$3,60,"")</f>
        <v/>
      </c>
      <c r="B367" s="1" t="str">
        <f t="shared" si="43"/>
        <v/>
      </c>
      <c r="C367" s="1" t="str">
        <f>IF($A367="","",Inputs!$B$4*12*(1+Inputs!$B$10/100)^($A367-1))</f>
        <v/>
      </c>
      <c r="D367" s="1" t="str">
        <f>IF($A367="","",B367*((Inputs!$B$5+2)/100))</f>
        <v/>
      </c>
      <c r="E367" s="37" t="str">
        <f>IF($A367="","",IFERROR(IF(OR(Inputs!$B$8&lt;=0,Inputs!$B$8=""),0,IF(AND($A367&gt;=Inputs!$B$8,MOD($A367,Inputs!$B$8)=0),Inputs!$B$7*(1+Inputs!$B$6/100)^$A367,0)),0))</f>
        <v/>
      </c>
      <c r="F367" s="1" t="str">
        <f t="shared" si="41"/>
        <v/>
      </c>
      <c r="G367" s="1">
        <f t="shared" si="42"/>
        <v>0</v>
      </c>
    </row>
    <row r="368" spans="1:7" ht="15.75" customHeight="1" x14ac:dyDescent="0.25">
      <c r="A368" s="1" t="str">
        <f>IF(61&lt;=Inputs!$B$3,61,"")</f>
        <v/>
      </c>
      <c r="B368" s="1" t="str">
        <f t="shared" si="43"/>
        <v/>
      </c>
      <c r="C368" s="1" t="str">
        <f>IF($A368="","",Inputs!$B$4*12*(1+Inputs!$B$10/100)^($A368-1))</f>
        <v/>
      </c>
      <c r="D368" s="1" t="str">
        <f>IF($A368="","",B368*((Inputs!$B$5+2)/100))</f>
        <v/>
      </c>
      <c r="E368" s="37" t="str">
        <f>IF($A368="","",IFERROR(IF(OR(Inputs!$B$8&lt;=0,Inputs!$B$8=""),0,IF(AND($A368&gt;=Inputs!$B$8,MOD($A368,Inputs!$B$8)=0),Inputs!$B$7*(1+Inputs!$B$6/100)^$A368,0)),0))</f>
        <v/>
      </c>
      <c r="F368" s="1" t="str">
        <f t="shared" si="41"/>
        <v/>
      </c>
      <c r="G368" s="1">
        <f t="shared" si="42"/>
        <v>0</v>
      </c>
    </row>
    <row r="369" spans="1:7" ht="15.75" customHeight="1" x14ac:dyDescent="0.25">
      <c r="A369" s="1" t="str">
        <f>IF(62&lt;=Inputs!$B$3,62,"")</f>
        <v/>
      </c>
      <c r="B369" s="1" t="str">
        <f t="shared" si="43"/>
        <v/>
      </c>
      <c r="C369" s="1" t="str">
        <f>IF($A369="","",Inputs!$B$4*12*(1+Inputs!$B$10/100)^($A369-1))</f>
        <v/>
      </c>
      <c r="D369" s="1" t="str">
        <f>IF($A369="","",B369*((Inputs!$B$5+2)/100))</f>
        <v/>
      </c>
      <c r="E369" s="37" t="str">
        <f>IF($A369="","",IFERROR(IF(OR(Inputs!$B$8&lt;=0,Inputs!$B$8=""),0,IF(AND($A369&gt;=Inputs!$B$8,MOD($A369,Inputs!$B$8)=0),Inputs!$B$7*(1+Inputs!$B$6/100)^$A369,0)),0))</f>
        <v/>
      </c>
      <c r="F369" s="1" t="str">
        <f t="shared" si="41"/>
        <v/>
      </c>
      <c r="G369" s="1">
        <f t="shared" si="42"/>
        <v>0</v>
      </c>
    </row>
    <row r="370" spans="1:7" ht="15.75" customHeight="1" x14ac:dyDescent="0.25">
      <c r="A370" s="1" t="str">
        <f>IF(63&lt;=Inputs!$B$3,63,"")</f>
        <v/>
      </c>
      <c r="B370" s="1" t="str">
        <f t="shared" si="43"/>
        <v/>
      </c>
      <c r="C370" s="1" t="str">
        <f>IF($A370="","",Inputs!$B$4*12*(1+Inputs!$B$10/100)^($A370-1))</f>
        <v/>
      </c>
      <c r="D370" s="1" t="str">
        <f>IF($A370="","",B370*((Inputs!$B$5+2)/100))</f>
        <v/>
      </c>
      <c r="E370" s="37" t="str">
        <f>IF($A370="","",IFERROR(IF(OR(Inputs!$B$8&lt;=0,Inputs!$B$8=""),0,IF(AND($A370&gt;=Inputs!$B$8,MOD($A370,Inputs!$B$8)=0),Inputs!$B$7*(1+Inputs!$B$6/100)^$A370,0)),0))</f>
        <v/>
      </c>
      <c r="F370" s="1" t="str">
        <f t="shared" si="41"/>
        <v/>
      </c>
      <c r="G370" s="1">
        <f t="shared" si="42"/>
        <v>0</v>
      </c>
    </row>
    <row r="371" spans="1:7" ht="15.75" customHeight="1" x14ac:dyDescent="0.25">
      <c r="A371" s="1" t="str">
        <f>IF(64&lt;=Inputs!$B$3,64,"")</f>
        <v/>
      </c>
      <c r="B371" s="1" t="str">
        <f t="shared" si="43"/>
        <v/>
      </c>
      <c r="C371" s="1" t="str">
        <f>IF($A371="","",Inputs!$B$4*12*(1+Inputs!$B$10/100)^($A371-1))</f>
        <v/>
      </c>
      <c r="D371" s="1" t="str">
        <f>IF($A371="","",B371*((Inputs!$B$5+2)/100))</f>
        <v/>
      </c>
      <c r="E371" s="37" t="str">
        <f>IF($A371="","",IFERROR(IF(OR(Inputs!$B$8&lt;=0,Inputs!$B$8=""),0,IF(AND($A371&gt;=Inputs!$B$8,MOD($A371,Inputs!$B$8)=0),Inputs!$B$7*(1+Inputs!$B$6/100)^$A371,0)),0))</f>
        <v/>
      </c>
      <c r="F371" s="1" t="str">
        <f t="shared" si="41"/>
        <v/>
      </c>
      <c r="G371" s="1">
        <f t="shared" si="42"/>
        <v>0</v>
      </c>
    </row>
    <row r="372" spans="1:7" ht="15.75" customHeight="1" x14ac:dyDescent="0.25">
      <c r="A372" s="1" t="str">
        <f>IF(65&lt;=Inputs!$B$3,65,"")</f>
        <v/>
      </c>
      <c r="B372" s="1" t="str">
        <f t="shared" si="43"/>
        <v/>
      </c>
      <c r="C372" s="1" t="str">
        <f>IF($A372="","",Inputs!$B$4*12*(1+Inputs!$B$10/100)^($A372-1))</f>
        <v/>
      </c>
      <c r="D372" s="1" t="str">
        <f>IF($A372="","",B372*((Inputs!$B$5+2)/100))</f>
        <v/>
      </c>
      <c r="E372" s="37" t="str">
        <f>IF($A372="","",IFERROR(IF(OR(Inputs!$B$8&lt;=0,Inputs!$B$8=""),0,IF(AND($A372&gt;=Inputs!$B$8,MOD($A372,Inputs!$B$8)=0),Inputs!$B$7*(1+Inputs!$B$6/100)^$A372,0)),0))</f>
        <v/>
      </c>
      <c r="F372" s="1" t="str">
        <f t="shared" ref="F372:F403" si="44">IF($A372="","",IFERROR(B372+C372+D372-E372,0))</f>
        <v/>
      </c>
      <c r="G372" s="1">
        <f t="shared" ref="G372:G407" si="45">IF($A372="",0,IF(IFERROR(D372,0)&gt;IFERROR(C372,0),1,0))</f>
        <v>0</v>
      </c>
    </row>
    <row r="373" spans="1:7" ht="15.75" customHeight="1" x14ac:dyDescent="0.25">
      <c r="A373" s="1" t="str">
        <f>IF(66&lt;=Inputs!$B$3,66,"")</f>
        <v/>
      </c>
      <c r="B373" s="1" t="str">
        <f t="shared" ref="B373:B407" si="46">IF($A373="","",IFERROR(F372,0))</f>
        <v/>
      </c>
      <c r="C373" s="1" t="str">
        <f>IF($A373="","",Inputs!$B$4*12*(1+Inputs!$B$10/100)^($A373-1))</f>
        <v/>
      </c>
      <c r="D373" s="1" t="str">
        <f>IF($A373="","",B373*((Inputs!$B$5+2)/100))</f>
        <v/>
      </c>
      <c r="E373" s="37" t="str">
        <f>IF($A373="","",IFERROR(IF(OR(Inputs!$B$8&lt;=0,Inputs!$B$8=""),0,IF(AND($A373&gt;=Inputs!$B$8,MOD($A373,Inputs!$B$8)=0),Inputs!$B$7*(1+Inputs!$B$6/100)^$A373,0)),0))</f>
        <v/>
      </c>
      <c r="F373" s="1" t="str">
        <f t="shared" si="44"/>
        <v/>
      </c>
      <c r="G373" s="1">
        <f t="shared" si="45"/>
        <v>0</v>
      </c>
    </row>
    <row r="374" spans="1:7" ht="15.75" customHeight="1" x14ac:dyDescent="0.25">
      <c r="A374" s="1" t="str">
        <f>IF(67&lt;=Inputs!$B$3,67,"")</f>
        <v/>
      </c>
      <c r="B374" s="1" t="str">
        <f t="shared" si="46"/>
        <v/>
      </c>
      <c r="C374" s="1" t="str">
        <f>IF($A374="","",Inputs!$B$4*12*(1+Inputs!$B$10/100)^($A374-1))</f>
        <v/>
      </c>
      <c r="D374" s="1" t="str">
        <f>IF($A374="","",B374*((Inputs!$B$5+2)/100))</f>
        <v/>
      </c>
      <c r="E374" s="37" t="str">
        <f>IF($A374="","",IFERROR(IF(OR(Inputs!$B$8&lt;=0,Inputs!$B$8=""),0,IF(AND($A374&gt;=Inputs!$B$8,MOD($A374,Inputs!$B$8)=0),Inputs!$B$7*(1+Inputs!$B$6/100)^$A374,0)),0))</f>
        <v/>
      </c>
      <c r="F374" s="1" t="str">
        <f t="shared" si="44"/>
        <v/>
      </c>
      <c r="G374" s="1">
        <f t="shared" si="45"/>
        <v>0</v>
      </c>
    </row>
    <row r="375" spans="1:7" ht="15.75" customHeight="1" x14ac:dyDescent="0.25">
      <c r="A375" s="1" t="str">
        <f>IF(68&lt;=Inputs!$B$3,68,"")</f>
        <v/>
      </c>
      <c r="B375" s="1" t="str">
        <f t="shared" si="46"/>
        <v/>
      </c>
      <c r="C375" s="1" t="str">
        <f>IF($A375="","",Inputs!$B$4*12*(1+Inputs!$B$10/100)^($A375-1))</f>
        <v/>
      </c>
      <c r="D375" s="1" t="str">
        <f>IF($A375="","",B375*((Inputs!$B$5+2)/100))</f>
        <v/>
      </c>
      <c r="E375" s="37" t="str">
        <f>IF($A375="","",IFERROR(IF(OR(Inputs!$B$8&lt;=0,Inputs!$B$8=""),0,IF(AND($A375&gt;=Inputs!$B$8,MOD($A375,Inputs!$B$8)=0),Inputs!$B$7*(1+Inputs!$B$6/100)^$A375,0)),0))</f>
        <v/>
      </c>
      <c r="F375" s="1" t="str">
        <f t="shared" si="44"/>
        <v/>
      </c>
      <c r="G375" s="1">
        <f t="shared" si="45"/>
        <v>0</v>
      </c>
    </row>
    <row r="376" spans="1:7" ht="15.75" customHeight="1" x14ac:dyDescent="0.25">
      <c r="A376" s="1" t="str">
        <f>IF(69&lt;=Inputs!$B$3,69,"")</f>
        <v/>
      </c>
      <c r="B376" s="1" t="str">
        <f t="shared" si="46"/>
        <v/>
      </c>
      <c r="C376" s="1" t="str">
        <f>IF($A376="","",Inputs!$B$4*12*(1+Inputs!$B$10/100)^($A376-1))</f>
        <v/>
      </c>
      <c r="D376" s="1" t="str">
        <f>IF($A376="","",B376*((Inputs!$B$5+2)/100))</f>
        <v/>
      </c>
      <c r="E376" s="37" t="str">
        <f>IF($A376="","",IFERROR(IF(OR(Inputs!$B$8&lt;=0,Inputs!$B$8=""),0,IF(AND($A376&gt;=Inputs!$B$8,MOD($A376,Inputs!$B$8)=0),Inputs!$B$7*(1+Inputs!$B$6/100)^$A376,0)),0))</f>
        <v/>
      </c>
      <c r="F376" s="1" t="str">
        <f t="shared" si="44"/>
        <v/>
      </c>
      <c r="G376" s="1">
        <f t="shared" si="45"/>
        <v>0</v>
      </c>
    </row>
    <row r="377" spans="1:7" ht="15.75" customHeight="1" x14ac:dyDescent="0.25">
      <c r="A377" s="1" t="str">
        <f>IF(70&lt;=Inputs!$B$3,70,"")</f>
        <v/>
      </c>
      <c r="B377" s="1" t="str">
        <f t="shared" si="46"/>
        <v/>
      </c>
      <c r="C377" s="1" t="str">
        <f>IF($A377="","",Inputs!$B$4*12*(1+Inputs!$B$10/100)^($A377-1))</f>
        <v/>
      </c>
      <c r="D377" s="1" t="str">
        <f>IF($A377="","",B377*((Inputs!$B$5+2)/100))</f>
        <v/>
      </c>
      <c r="E377" s="37" t="str">
        <f>IF($A377="","",IFERROR(IF(OR(Inputs!$B$8&lt;=0,Inputs!$B$8=""),0,IF(AND($A377&gt;=Inputs!$B$8,MOD($A377,Inputs!$B$8)=0),Inputs!$B$7*(1+Inputs!$B$6/100)^$A377,0)),0))</f>
        <v/>
      </c>
      <c r="F377" s="1" t="str">
        <f t="shared" si="44"/>
        <v/>
      </c>
      <c r="G377" s="1">
        <f t="shared" si="45"/>
        <v>0</v>
      </c>
    </row>
    <row r="378" spans="1:7" ht="15.75" customHeight="1" x14ac:dyDescent="0.25">
      <c r="A378" s="1" t="str">
        <f>IF(71&lt;=Inputs!$B$3,71,"")</f>
        <v/>
      </c>
      <c r="B378" s="1" t="str">
        <f t="shared" si="46"/>
        <v/>
      </c>
      <c r="C378" s="1" t="str">
        <f>IF($A378="","",Inputs!$B$4*12*(1+Inputs!$B$10/100)^($A378-1))</f>
        <v/>
      </c>
      <c r="D378" s="1" t="str">
        <f>IF($A378="","",B378*((Inputs!$B$5+2)/100))</f>
        <v/>
      </c>
      <c r="E378" s="37" t="str">
        <f>IF($A378="","",IFERROR(IF(OR(Inputs!$B$8&lt;=0,Inputs!$B$8=""),0,IF(AND($A378&gt;=Inputs!$B$8,MOD($A378,Inputs!$B$8)=0),Inputs!$B$7*(1+Inputs!$B$6/100)^$A378,0)),0))</f>
        <v/>
      </c>
      <c r="F378" s="1" t="str">
        <f t="shared" si="44"/>
        <v/>
      </c>
      <c r="G378" s="1">
        <f t="shared" si="45"/>
        <v>0</v>
      </c>
    </row>
    <row r="379" spans="1:7" ht="15.75" customHeight="1" x14ac:dyDescent="0.25">
      <c r="A379" s="1" t="str">
        <f>IF(72&lt;=Inputs!$B$3,72,"")</f>
        <v/>
      </c>
      <c r="B379" s="1" t="str">
        <f t="shared" si="46"/>
        <v/>
      </c>
      <c r="C379" s="1" t="str">
        <f>IF($A379="","",Inputs!$B$4*12*(1+Inputs!$B$10/100)^($A379-1))</f>
        <v/>
      </c>
      <c r="D379" s="1" t="str">
        <f>IF($A379="","",B379*((Inputs!$B$5+2)/100))</f>
        <v/>
      </c>
      <c r="E379" s="37" t="str">
        <f>IF($A379="","",IFERROR(IF(OR(Inputs!$B$8&lt;=0,Inputs!$B$8=""),0,IF(AND($A379&gt;=Inputs!$B$8,MOD($A379,Inputs!$B$8)=0),Inputs!$B$7*(1+Inputs!$B$6/100)^$A379,0)),0))</f>
        <v/>
      </c>
      <c r="F379" s="1" t="str">
        <f t="shared" si="44"/>
        <v/>
      </c>
      <c r="G379" s="1">
        <f t="shared" si="45"/>
        <v>0</v>
      </c>
    </row>
    <row r="380" spans="1:7" ht="15.75" customHeight="1" x14ac:dyDescent="0.25">
      <c r="A380" s="1" t="str">
        <f>IF(73&lt;=Inputs!$B$3,73,"")</f>
        <v/>
      </c>
      <c r="B380" s="1" t="str">
        <f t="shared" si="46"/>
        <v/>
      </c>
      <c r="C380" s="1" t="str">
        <f>IF($A380="","",Inputs!$B$4*12*(1+Inputs!$B$10/100)^($A380-1))</f>
        <v/>
      </c>
      <c r="D380" s="1" t="str">
        <f>IF($A380="","",B380*((Inputs!$B$5+2)/100))</f>
        <v/>
      </c>
      <c r="E380" s="37" t="str">
        <f>IF($A380="","",IFERROR(IF(OR(Inputs!$B$8&lt;=0,Inputs!$B$8=""),0,IF(AND($A380&gt;=Inputs!$B$8,MOD($A380,Inputs!$B$8)=0),Inputs!$B$7*(1+Inputs!$B$6/100)^$A380,0)),0))</f>
        <v/>
      </c>
      <c r="F380" s="1" t="str">
        <f t="shared" si="44"/>
        <v/>
      </c>
      <c r="G380" s="1">
        <f t="shared" si="45"/>
        <v>0</v>
      </c>
    </row>
    <row r="381" spans="1:7" ht="15.75" customHeight="1" x14ac:dyDescent="0.25">
      <c r="A381" s="1" t="str">
        <f>IF(74&lt;=Inputs!$B$3,74,"")</f>
        <v/>
      </c>
      <c r="B381" s="1" t="str">
        <f t="shared" si="46"/>
        <v/>
      </c>
      <c r="C381" s="1" t="str">
        <f>IF($A381="","",Inputs!$B$4*12*(1+Inputs!$B$10/100)^($A381-1))</f>
        <v/>
      </c>
      <c r="D381" s="1" t="str">
        <f>IF($A381="","",B381*((Inputs!$B$5+2)/100))</f>
        <v/>
      </c>
      <c r="E381" s="37" t="str">
        <f>IF($A381="","",IFERROR(IF(OR(Inputs!$B$8&lt;=0,Inputs!$B$8=""),0,IF(AND($A381&gt;=Inputs!$B$8,MOD($A381,Inputs!$B$8)=0),Inputs!$B$7*(1+Inputs!$B$6/100)^$A381,0)),0))</f>
        <v/>
      </c>
      <c r="F381" s="1" t="str">
        <f t="shared" si="44"/>
        <v/>
      </c>
      <c r="G381" s="1">
        <f t="shared" si="45"/>
        <v>0</v>
      </c>
    </row>
    <row r="382" spans="1:7" ht="15.75" customHeight="1" x14ac:dyDescent="0.25">
      <c r="A382" s="1" t="str">
        <f>IF(75&lt;=Inputs!$B$3,75,"")</f>
        <v/>
      </c>
      <c r="B382" s="1" t="str">
        <f t="shared" si="46"/>
        <v/>
      </c>
      <c r="C382" s="1" t="str">
        <f>IF($A382="","",Inputs!$B$4*12*(1+Inputs!$B$10/100)^($A382-1))</f>
        <v/>
      </c>
      <c r="D382" s="1" t="str">
        <f>IF($A382="","",B382*((Inputs!$B$5+2)/100))</f>
        <v/>
      </c>
      <c r="E382" s="37" t="str">
        <f>IF($A382="","",IFERROR(IF(OR(Inputs!$B$8&lt;=0,Inputs!$B$8=""),0,IF(AND($A382&gt;=Inputs!$B$8,MOD($A382,Inputs!$B$8)=0),Inputs!$B$7*(1+Inputs!$B$6/100)^$A382,0)),0))</f>
        <v/>
      </c>
      <c r="F382" s="1" t="str">
        <f t="shared" si="44"/>
        <v/>
      </c>
      <c r="G382" s="1">
        <f t="shared" si="45"/>
        <v>0</v>
      </c>
    </row>
    <row r="383" spans="1:7" ht="15.75" customHeight="1" x14ac:dyDescent="0.25">
      <c r="A383" s="1" t="str">
        <f>IF(76&lt;=Inputs!$B$3,76,"")</f>
        <v/>
      </c>
      <c r="B383" s="1" t="str">
        <f t="shared" si="46"/>
        <v/>
      </c>
      <c r="C383" s="1" t="str">
        <f>IF($A383="","",Inputs!$B$4*12*(1+Inputs!$B$10/100)^($A383-1))</f>
        <v/>
      </c>
      <c r="D383" s="1" t="str">
        <f>IF($A383="","",B383*((Inputs!$B$5+2)/100))</f>
        <v/>
      </c>
      <c r="E383" s="37" t="str">
        <f>IF($A383="","",IFERROR(IF(OR(Inputs!$B$8&lt;=0,Inputs!$B$8=""),0,IF(AND($A383&gt;=Inputs!$B$8,MOD($A383,Inputs!$B$8)=0),Inputs!$B$7*(1+Inputs!$B$6/100)^$A383,0)),0))</f>
        <v/>
      </c>
      <c r="F383" s="1" t="str">
        <f t="shared" si="44"/>
        <v/>
      </c>
      <c r="G383" s="1">
        <f t="shared" si="45"/>
        <v>0</v>
      </c>
    </row>
    <row r="384" spans="1:7" ht="15.75" customHeight="1" x14ac:dyDescent="0.25">
      <c r="A384" s="1" t="str">
        <f>IF(77&lt;=Inputs!$B$3,77,"")</f>
        <v/>
      </c>
      <c r="B384" s="1" t="str">
        <f t="shared" si="46"/>
        <v/>
      </c>
      <c r="C384" s="1" t="str">
        <f>IF($A384="","",Inputs!$B$4*12*(1+Inputs!$B$10/100)^($A384-1))</f>
        <v/>
      </c>
      <c r="D384" s="1" t="str">
        <f>IF($A384="","",B384*((Inputs!$B$5+2)/100))</f>
        <v/>
      </c>
      <c r="E384" s="37" t="str">
        <f>IF($A384="","",IFERROR(IF(OR(Inputs!$B$8&lt;=0,Inputs!$B$8=""),0,IF(AND($A384&gt;=Inputs!$B$8,MOD($A384,Inputs!$B$8)=0),Inputs!$B$7*(1+Inputs!$B$6/100)^$A384,0)),0))</f>
        <v/>
      </c>
      <c r="F384" s="1" t="str">
        <f t="shared" si="44"/>
        <v/>
      </c>
      <c r="G384" s="1">
        <f t="shared" si="45"/>
        <v>0</v>
      </c>
    </row>
    <row r="385" spans="1:7" ht="15.75" customHeight="1" x14ac:dyDescent="0.25">
      <c r="A385" s="1" t="str">
        <f>IF(78&lt;=Inputs!$B$3,78,"")</f>
        <v/>
      </c>
      <c r="B385" s="1" t="str">
        <f t="shared" si="46"/>
        <v/>
      </c>
      <c r="C385" s="1" t="str">
        <f>IF($A385="","",Inputs!$B$4*12*(1+Inputs!$B$10/100)^($A385-1))</f>
        <v/>
      </c>
      <c r="D385" s="1" t="str">
        <f>IF($A385="","",B385*((Inputs!$B$5+2)/100))</f>
        <v/>
      </c>
      <c r="E385" s="37" t="str">
        <f>IF($A385="","",IFERROR(IF(OR(Inputs!$B$8&lt;=0,Inputs!$B$8=""),0,IF(AND($A385&gt;=Inputs!$B$8,MOD($A385,Inputs!$B$8)=0),Inputs!$B$7*(1+Inputs!$B$6/100)^$A385,0)),0))</f>
        <v/>
      </c>
      <c r="F385" s="1" t="str">
        <f t="shared" si="44"/>
        <v/>
      </c>
      <c r="G385" s="1">
        <f t="shared" si="45"/>
        <v>0</v>
      </c>
    </row>
    <row r="386" spans="1:7" ht="15.75" customHeight="1" x14ac:dyDescent="0.25">
      <c r="A386" s="1" t="str">
        <f>IF(79&lt;=Inputs!$B$3,79,"")</f>
        <v/>
      </c>
      <c r="B386" s="1" t="str">
        <f t="shared" si="46"/>
        <v/>
      </c>
      <c r="C386" s="1" t="str">
        <f>IF($A386="","",Inputs!$B$4*12*(1+Inputs!$B$10/100)^($A386-1))</f>
        <v/>
      </c>
      <c r="D386" s="1" t="str">
        <f>IF($A386="","",B386*((Inputs!$B$5+2)/100))</f>
        <v/>
      </c>
      <c r="E386" s="37" t="str">
        <f>IF($A386="","",IFERROR(IF(OR(Inputs!$B$8&lt;=0,Inputs!$B$8=""),0,IF(AND($A386&gt;=Inputs!$B$8,MOD($A386,Inputs!$B$8)=0),Inputs!$B$7*(1+Inputs!$B$6/100)^$A386,0)),0))</f>
        <v/>
      </c>
      <c r="F386" s="1" t="str">
        <f t="shared" si="44"/>
        <v/>
      </c>
      <c r="G386" s="1">
        <f t="shared" si="45"/>
        <v>0</v>
      </c>
    </row>
    <row r="387" spans="1:7" ht="15.75" customHeight="1" x14ac:dyDescent="0.25">
      <c r="A387" s="1" t="str">
        <f>IF(80&lt;=Inputs!$B$3,80,"")</f>
        <v/>
      </c>
      <c r="B387" s="1" t="str">
        <f t="shared" si="46"/>
        <v/>
      </c>
      <c r="C387" s="1" t="str">
        <f>IF($A387="","",Inputs!$B$4*12*(1+Inputs!$B$10/100)^($A387-1))</f>
        <v/>
      </c>
      <c r="D387" s="1" t="str">
        <f>IF($A387="","",B387*((Inputs!$B$5+2)/100))</f>
        <v/>
      </c>
      <c r="E387" s="37" t="str">
        <f>IF($A387="","",IFERROR(IF(OR(Inputs!$B$8&lt;=0,Inputs!$B$8=""),0,IF(AND($A387&gt;=Inputs!$B$8,MOD($A387,Inputs!$B$8)=0),Inputs!$B$7*(1+Inputs!$B$6/100)^$A387,0)),0))</f>
        <v/>
      </c>
      <c r="F387" s="1" t="str">
        <f t="shared" si="44"/>
        <v/>
      </c>
      <c r="G387" s="1">
        <f t="shared" si="45"/>
        <v>0</v>
      </c>
    </row>
    <row r="388" spans="1:7" ht="15.75" customHeight="1" x14ac:dyDescent="0.25">
      <c r="A388" s="1" t="str">
        <f>IF(81&lt;=Inputs!$B$3,81,"")</f>
        <v/>
      </c>
      <c r="B388" s="1" t="str">
        <f t="shared" si="46"/>
        <v/>
      </c>
      <c r="C388" s="1" t="str">
        <f>IF($A388="","",Inputs!$B$4*12*(1+Inputs!$B$10/100)^($A388-1))</f>
        <v/>
      </c>
      <c r="D388" s="1" t="str">
        <f>IF($A388="","",B388*((Inputs!$B$5+2)/100))</f>
        <v/>
      </c>
      <c r="E388" s="37" t="str">
        <f>IF($A388="","",IFERROR(IF(OR(Inputs!$B$8&lt;=0,Inputs!$B$8=""),0,IF(AND($A388&gt;=Inputs!$B$8,MOD($A388,Inputs!$B$8)=0),Inputs!$B$7*(1+Inputs!$B$6/100)^$A388,0)),0))</f>
        <v/>
      </c>
      <c r="F388" s="1" t="str">
        <f t="shared" si="44"/>
        <v/>
      </c>
      <c r="G388" s="1">
        <f t="shared" si="45"/>
        <v>0</v>
      </c>
    </row>
    <row r="389" spans="1:7" ht="15.75" customHeight="1" x14ac:dyDescent="0.25">
      <c r="A389" s="1" t="str">
        <f>IF(82&lt;=Inputs!$B$3,82,"")</f>
        <v/>
      </c>
      <c r="B389" s="1" t="str">
        <f t="shared" si="46"/>
        <v/>
      </c>
      <c r="C389" s="1" t="str">
        <f>IF($A389="","",Inputs!$B$4*12*(1+Inputs!$B$10/100)^($A389-1))</f>
        <v/>
      </c>
      <c r="D389" s="1" t="str">
        <f>IF($A389="","",B389*((Inputs!$B$5+2)/100))</f>
        <v/>
      </c>
      <c r="E389" s="37" t="str">
        <f>IF($A389="","",IFERROR(IF(OR(Inputs!$B$8&lt;=0,Inputs!$B$8=""),0,IF(AND($A389&gt;=Inputs!$B$8,MOD($A389,Inputs!$B$8)=0),Inputs!$B$7*(1+Inputs!$B$6/100)^$A389,0)),0))</f>
        <v/>
      </c>
      <c r="F389" s="1" t="str">
        <f t="shared" si="44"/>
        <v/>
      </c>
      <c r="G389" s="1">
        <f t="shared" si="45"/>
        <v>0</v>
      </c>
    </row>
    <row r="390" spans="1:7" ht="15.75" customHeight="1" x14ac:dyDescent="0.25">
      <c r="A390" s="1" t="str">
        <f>IF(83&lt;=Inputs!$B$3,83,"")</f>
        <v/>
      </c>
      <c r="B390" s="1" t="str">
        <f t="shared" si="46"/>
        <v/>
      </c>
      <c r="C390" s="1" t="str">
        <f>IF($A390="","",Inputs!$B$4*12*(1+Inputs!$B$10/100)^($A390-1))</f>
        <v/>
      </c>
      <c r="D390" s="1" t="str">
        <f>IF($A390="","",B390*((Inputs!$B$5+2)/100))</f>
        <v/>
      </c>
      <c r="E390" s="37" t="str">
        <f>IF($A390="","",IFERROR(IF(OR(Inputs!$B$8&lt;=0,Inputs!$B$8=""),0,IF(AND($A390&gt;=Inputs!$B$8,MOD($A390,Inputs!$B$8)=0),Inputs!$B$7*(1+Inputs!$B$6/100)^$A390,0)),0))</f>
        <v/>
      </c>
      <c r="F390" s="1" t="str">
        <f t="shared" si="44"/>
        <v/>
      </c>
      <c r="G390" s="1">
        <f t="shared" si="45"/>
        <v>0</v>
      </c>
    </row>
    <row r="391" spans="1:7" ht="15.75" customHeight="1" x14ac:dyDescent="0.25">
      <c r="A391" s="1" t="str">
        <f>IF(84&lt;=Inputs!$B$3,84,"")</f>
        <v/>
      </c>
      <c r="B391" s="1" t="str">
        <f t="shared" si="46"/>
        <v/>
      </c>
      <c r="C391" s="1" t="str">
        <f>IF($A391="","",Inputs!$B$4*12*(1+Inputs!$B$10/100)^($A391-1))</f>
        <v/>
      </c>
      <c r="D391" s="1" t="str">
        <f>IF($A391="","",B391*((Inputs!$B$5+2)/100))</f>
        <v/>
      </c>
      <c r="E391" s="37" t="str">
        <f>IF($A391="","",IFERROR(IF(OR(Inputs!$B$8&lt;=0,Inputs!$B$8=""),0,IF(AND($A391&gt;=Inputs!$B$8,MOD($A391,Inputs!$B$8)=0),Inputs!$B$7*(1+Inputs!$B$6/100)^$A391,0)),0))</f>
        <v/>
      </c>
      <c r="F391" s="1" t="str">
        <f t="shared" si="44"/>
        <v/>
      </c>
      <c r="G391" s="1">
        <f t="shared" si="45"/>
        <v>0</v>
      </c>
    </row>
    <row r="392" spans="1:7" ht="15.75" customHeight="1" x14ac:dyDescent="0.25">
      <c r="A392" s="1" t="str">
        <f>IF(85&lt;=Inputs!$B$3,85,"")</f>
        <v/>
      </c>
      <c r="B392" s="1" t="str">
        <f t="shared" si="46"/>
        <v/>
      </c>
      <c r="C392" s="1" t="str">
        <f>IF($A392="","",Inputs!$B$4*12*(1+Inputs!$B$10/100)^($A392-1))</f>
        <v/>
      </c>
      <c r="D392" s="1" t="str">
        <f>IF($A392="","",B392*((Inputs!$B$5+2)/100))</f>
        <v/>
      </c>
      <c r="E392" s="37" t="str">
        <f>IF($A392="","",IFERROR(IF(OR(Inputs!$B$8&lt;=0,Inputs!$B$8=""),0,IF(AND($A392&gt;=Inputs!$B$8,MOD($A392,Inputs!$B$8)=0),Inputs!$B$7*(1+Inputs!$B$6/100)^$A392,0)),0))</f>
        <v/>
      </c>
      <c r="F392" s="1" t="str">
        <f t="shared" si="44"/>
        <v/>
      </c>
      <c r="G392" s="1">
        <f t="shared" si="45"/>
        <v>0</v>
      </c>
    </row>
    <row r="393" spans="1:7" ht="15.75" customHeight="1" x14ac:dyDescent="0.25">
      <c r="A393" s="1" t="str">
        <f>IF(86&lt;=Inputs!$B$3,86,"")</f>
        <v/>
      </c>
      <c r="B393" s="1" t="str">
        <f t="shared" si="46"/>
        <v/>
      </c>
      <c r="C393" s="1" t="str">
        <f>IF($A393="","",Inputs!$B$4*12*(1+Inputs!$B$10/100)^($A393-1))</f>
        <v/>
      </c>
      <c r="D393" s="1" t="str">
        <f>IF($A393="","",B393*((Inputs!$B$5+2)/100))</f>
        <v/>
      </c>
      <c r="E393" s="37" t="str">
        <f>IF($A393="","",IFERROR(IF(OR(Inputs!$B$8&lt;=0,Inputs!$B$8=""),0,IF(AND($A393&gt;=Inputs!$B$8,MOD($A393,Inputs!$B$8)=0),Inputs!$B$7*(1+Inputs!$B$6/100)^$A393,0)),0))</f>
        <v/>
      </c>
      <c r="F393" s="1" t="str">
        <f t="shared" si="44"/>
        <v/>
      </c>
      <c r="G393" s="1">
        <f t="shared" si="45"/>
        <v>0</v>
      </c>
    </row>
    <row r="394" spans="1:7" ht="15.75" customHeight="1" x14ac:dyDescent="0.25">
      <c r="A394" s="1" t="str">
        <f>IF(87&lt;=Inputs!$B$3,87,"")</f>
        <v/>
      </c>
      <c r="B394" s="1" t="str">
        <f t="shared" si="46"/>
        <v/>
      </c>
      <c r="C394" s="1" t="str">
        <f>IF($A394="","",Inputs!$B$4*12*(1+Inputs!$B$10/100)^($A394-1))</f>
        <v/>
      </c>
      <c r="D394" s="1" t="str">
        <f>IF($A394="","",B394*((Inputs!$B$5+2)/100))</f>
        <v/>
      </c>
      <c r="E394" s="37" t="str">
        <f>IF($A394="","",IFERROR(IF(OR(Inputs!$B$8&lt;=0,Inputs!$B$8=""),0,IF(AND($A394&gt;=Inputs!$B$8,MOD($A394,Inputs!$B$8)=0),Inputs!$B$7*(1+Inputs!$B$6/100)^$A394,0)),0))</f>
        <v/>
      </c>
      <c r="F394" s="1" t="str">
        <f t="shared" si="44"/>
        <v/>
      </c>
      <c r="G394" s="1">
        <f t="shared" si="45"/>
        <v>0</v>
      </c>
    </row>
    <row r="395" spans="1:7" ht="15.75" customHeight="1" x14ac:dyDescent="0.25">
      <c r="A395" s="1" t="str">
        <f>IF(88&lt;=Inputs!$B$3,88,"")</f>
        <v/>
      </c>
      <c r="B395" s="1" t="str">
        <f t="shared" si="46"/>
        <v/>
      </c>
      <c r="C395" s="1" t="str">
        <f>IF($A395="","",Inputs!$B$4*12*(1+Inputs!$B$10/100)^($A395-1))</f>
        <v/>
      </c>
      <c r="D395" s="1" t="str">
        <f>IF($A395="","",B395*((Inputs!$B$5+2)/100))</f>
        <v/>
      </c>
      <c r="E395" s="37" t="str">
        <f>IF($A395="","",IFERROR(IF(OR(Inputs!$B$8&lt;=0,Inputs!$B$8=""),0,IF(AND($A395&gt;=Inputs!$B$8,MOD($A395,Inputs!$B$8)=0),Inputs!$B$7*(1+Inputs!$B$6/100)^$A395,0)),0))</f>
        <v/>
      </c>
      <c r="F395" s="1" t="str">
        <f t="shared" si="44"/>
        <v/>
      </c>
      <c r="G395" s="1">
        <f t="shared" si="45"/>
        <v>0</v>
      </c>
    </row>
    <row r="396" spans="1:7" ht="15.75" customHeight="1" x14ac:dyDescent="0.25">
      <c r="A396" s="1" t="str">
        <f>IF(89&lt;=Inputs!$B$3,89,"")</f>
        <v/>
      </c>
      <c r="B396" s="1" t="str">
        <f t="shared" si="46"/>
        <v/>
      </c>
      <c r="C396" s="1" t="str">
        <f>IF($A396="","",Inputs!$B$4*12*(1+Inputs!$B$10/100)^($A396-1))</f>
        <v/>
      </c>
      <c r="D396" s="1" t="str">
        <f>IF($A396="","",B396*((Inputs!$B$5+2)/100))</f>
        <v/>
      </c>
      <c r="E396" s="37" t="str">
        <f>IF($A396="","",IFERROR(IF(OR(Inputs!$B$8&lt;=0,Inputs!$B$8=""),0,IF(AND($A396&gt;=Inputs!$B$8,MOD($A396,Inputs!$B$8)=0),Inputs!$B$7*(1+Inputs!$B$6/100)^$A396,0)),0))</f>
        <v/>
      </c>
      <c r="F396" s="1" t="str">
        <f t="shared" si="44"/>
        <v/>
      </c>
      <c r="G396" s="1">
        <f t="shared" si="45"/>
        <v>0</v>
      </c>
    </row>
    <row r="397" spans="1:7" ht="15.75" customHeight="1" x14ac:dyDescent="0.25">
      <c r="A397" s="1" t="str">
        <f>IF(90&lt;=Inputs!$B$3,90,"")</f>
        <v/>
      </c>
      <c r="B397" s="1" t="str">
        <f t="shared" si="46"/>
        <v/>
      </c>
      <c r="C397" s="1" t="str">
        <f>IF($A397="","",Inputs!$B$4*12*(1+Inputs!$B$10/100)^($A397-1))</f>
        <v/>
      </c>
      <c r="D397" s="1" t="str">
        <f>IF($A397="","",B397*((Inputs!$B$5+2)/100))</f>
        <v/>
      </c>
      <c r="E397" s="37" t="str">
        <f>IF($A397="","",IFERROR(IF(OR(Inputs!$B$8&lt;=0,Inputs!$B$8=""),0,IF(AND($A397&gt;=Inputs!$B$8,MOD($A397,Inputs!$B$8)=0),Inputs!$B$7*(1+Inputs!$B$6/100)^$A397,0)),0))</f>
        <v/>
      </c>
      <c r="F397" s="1" t="str">
        <f t="shared" si="44"/>
        <v/>
      </c>
      <c r="G397" s="1">
        <f t="shared" si="45"/>
        <v>0</v>
      </c>
    </row>
    <row r="398" spans="1:7" ht="15.75" customHeight="1" x14ac:dyDescent="0.25">
      <c r="A398" s="1" t="str">
        <f>IF(91&lt;=Inputs!$B$3,91,"")</f>
        <v/>
      </c>
      <c r="B398" s="1" t="str">
        <f t="shared" si="46"/>
        <v/>
      </c>
      <c r="C398" s="1" t="str">
        <f>IF($A398="","",Inputs!$B$4*12*(1+Inputs!$B$10/100)^($A398-1))</f>
        <v/>
      </c>
      <c r="D398" s="1" t="str">
        <f>IF($A398="","",B398*((Inputs!$B$5+2)/100))</f>
        <v/>
      </c>
      <c r="E398" s="37" t="str">
        <f>IF($A398="","",IFERROR(IF(OR(Inputs!$B$8&lt;=0,Inputs!$B$8=""),0,IF(AND($A398&gt;=Inputs!$B$8,MOD($A398,Inputs!$B$8)=0),Inputs!$B$7*(1+Inputs!$B$6/100)^$A398,0)),0))</f>
        <v/>
      </c>
      <c r="F398" s="1" t="str">
        <f t="shared" si="44"/>
        <v/>
      </c>
      <c r="G398" s="1">
        <f t="shared" si="45"/>
        <v>0</v>
      </c>
    </row>
    <row r="399" spans="1:7" ht="15.75" customHeight="1" x14ac:dyDescent="0.25">
      <c r="A399" s="1" t="str">
        <f>IF(92&lt;=Inputs!$B$3,92,"")</f>
        <v/>
      </c>
      <c r="B399" s="1" t="str">
        <f t="shared" si="46"/>
        <v/>
      </c>
      <c r="C399" s="1" t="str">
        <f>IF($A399="","",Inputs!$B$4*12*(1+Inputs!$B$10/100)^($A399-1))</f>
        <v/>
      </c>
      <c r="D399" s="1" t="str">
        <f>IF($A399="","",B399*((Inputs!$B$5+2)/100))</f>
        <v/>
      </c>
      <c r="E399" s="37" t="str">
        <f>IF($A399="","",IFERROR(IF(OR(Inputs!$B$8&lt;=0,Inputs!$B$8=""),0,IF(AND($A399&gt;=Inputs!$B$8,MOD($A399,Inputs!$B$8)=0),Inputs!$B$7*(1+Inputs!$B$6/100)^$A399,0)),0))</f>
        <v/>
      </c>
      <c r="F399" s="1" t="str">
        <f t="shared" si="44"/>
        <v/>
      </c>
      <c r="G399" s="1">
        <f t="shared" si="45"/>
        <v>0</v>
      </c>
    </row>
    <row r="400" spans="1:7" ht="15.75" customHeight="1" x14ac:dyDescent="0.25">
      <c r="A400" s="1" t="str">
        <f>IF(93&lt;=Inputs!$B$3,93,"")</f>
        <v/>
      </c>
      <c r="B400" s="1" t="str">
        <f t="shared" si="46"/>
        <v/>
      </c>
      <c r="C400" s="1" t="str">
        <f>IF($A400="","",Inputs!$B$4*12*(1+Inputs!$B$10/100)^($A400-1))</f>
        <v/>
      </c>
      <c r="D400" s="1" t="str">
        <f>IF($A400="","",B400*((Inputs!$B$5+2)/100))</f>
        <v/>
      </c>
      <c r="E400" s="37" t="str">
        <f>IF($A400="","",IFERROR(IF(OR(Inputs!$B$8&lt;=0,Inputs!$B$8=""),0,IF(AND($A400&gt;=Inputs!$B$8,MOD($A400,Inputs!$B$8)=0),Inputs!$B$7*(1+Inputs!$B$6/100)^$A400,0)),0))</f>
        <v/>
      </c>
      <c r="F400" s="1" t="str">
        <f t="shared" si="44"/>
        <v/>
      </c>
      <c r="G400" s="1">
        <f t="shared" si="45"/>
        <v>0</v>
      </c>
    </row>
    <row r="401" spans="1:7" ht="15.75" customHeight="1" x14ac:dyDescent="0.25">
      <c r="A401" s="1" t="str">
        <f>IF(94&lt;=Inputs!$B$3,94,"")</f>
        <v/>
      </c>
      <c r="B401" s="1" t="str">
        <f t="shared" si="46"/>
        <v/>
      </c>
      <c r="C401" s="1" t="str">
        <f>IF($A401="","",Inputs!$B$4*12*(1+Inputs!$B$10/100)^($A401-1))</f>
        <v/>
      </c>
      <c r="D401" s="1" t="str">
        <f>IF($A401="","",B401*((Inputs!$B$5+2)/100))</f>
        <v/>
      </c>
      <c r="E401" s="37" t="str">
        <f>IF($A401="","",IFERROR(IF(OR(Inputs!$B$8&lt;=0,Inputs!$B$8=""),0,IF(AND($A401&gt;=Inputs!$B$8,MOD($A401,Inputs!$B$8)=0),Inputs!$B$7*(1+Inputs!$B$6/100)^$A401,0)),0))</f>
        <v/>
      </c>
      <c r="F401" s="1" t="str">
        <f t="shared" si="44"/>
        <v/>
      </c>
      <c r="G401" s="1">
        <f t="shared" si="45"/>
        <v>0</v>
      </c>
    </row>
    <row r="402" spans="1:7" ht="15.75" customHeight="1" x14ac:dyDescent="0.25">
      <c r="A402" s="1" t="str">
        <f>IF(95&lt;=Inputs!$B$3,95,"")</f>
        <v/>
      </c>
      <c r="B402" s="1" t="str">
        <f t="shared" si="46"/>
        <v/>
      </c>
      <c r="C402" s="1" t="str">
        <f>IF($A402="","",Inputs!$B$4*12*(1+Inputs!$B$10/100)^($A402-1))</f>
        <v/>
      </c>
      <c r="D402" s="1" t="str">
        <f>IF($A402="","",B402*((Inputs!$B$5+2)/100))</f>
        <v/>
      </c>
      <c r="E402" s="37" t="str">
        <f>IF($A402="","",IFERROR(IF(OR(Inputs!$B$8&lt;=0,Inputs!$B$8=""),0,IF(AND($A402&gt;=Inputs!$B$8,MOD($A402,Inputs!$B$8)=0),Inputs!$B$7*(1+Inputs!$B$6/100)^$A402,0)),0))</f>
        <v/>
      </c>
      <c r="F402" s="1" t="str">
        <f t="shared" si="44"/>
        <v/>
      </c>
      <c r="G402" s="1">
        <f t="shared" si="45"/>
        <v>0</v>
      </c>
    </row>
    <row r="403" spans="1:7" ht="15.75" customHeight="1" x14ac:dyDescent="0.25">
      <c r="A403" s="1" t="str">
        <f>IF(96&lt;=Inputs!$B$3,96,"")</f>
        <v/>
      </c>
      <c r="B403" s="1" t="str">
        <f t="shared" si="46"/>
        <v/>
      </c>
      <c r="C403" s="1" t="str">
        <f>IF($A403="","",Inputs!$B$4*12*(1+Inputs!$B$10/100)^($A403-1))</f>
        <v/>
      </c>
      <c r="D403" s="1" t="str">
        <f>IF($A403="","",B403*((Inputs!$B$5+2)/100))</f>
        <v/>
      </c>
      <c r="E403" s="37" t="str">
        <f>IF($A403="","",IFERROR(IF(OR(Inputs!$B$8&lt;=0,Inputs!$B$8=""),0,IF(AND($A403&gt;=Inputs!$B$8,MOD($A403,Inputs!$B$8)=0),Inputs!$B$7*(1+Inputs!$B$6/100)^$A403,0)),0))</f>
        <v/>
      </c>
      <c r="F403" s="1" t="str">
        <f t="shared" si="44"/>
        <v/>
      </c>
      <c r="G403" s="1">
        <f t="shared" si="45"/>
        <v>0</v>
      </c>
    </row>
    <row r="404" spans="1:7" ht="15.75" customHeight="1" x14ac:dyDescent="0.25">
      <c r="A404" s="1" t="str">
        <f>IF(97&lt;=Inputs!$B$3,97,"")</f>
        <v/>
      </c>
      <c r="B404" s="1" t="str">
        <f t="shared" si="46"/>
        <v/>
      </c>
      <c r="C404" s="1" t="str">
        <f>IF($A404="","",Inputs!$B$4*12*(1+Inputs!$B$10/100)^($A404-1))</f>
        <v/>
      </c>
      <c r="D404" s="1" t="str">
        <f>IF($A404="","",B404*((Inputs!$B$5+2)/100))</f>
        <v/>
      </c>
      <c r="E404" s="37" t="str">
        <f>IF($A404="","",IFERROR(IF(OR(Inputs!$B$8&lt;=0,Inputs!$B$8=""),0,IF(AND($A404&gt;=Inputs!$B$8,MOD($A404,Inputs!$B$8)=0),Inputs!$B$7*(1+Inputs!$B$6/100)^$A404,0)),0))</f>
        <v/>
      </c>
      <c r="F404" s="1" t="str">
        <f t="shared" ref="F404:F407" si="47">IF($A404="","",IFERROR(B404+C404+D404-E404,0))</f>
        <v/>
      </c>
      <c r="G404" s="1">
        <f t="shared" si="45"/>
        <v>0</v>
      </c>
    </row>
    <row r="405" spans="1:7" ht="15.75" customHeight="1" x14ac:dyDescent="0.25">
      <c r="A405" s="1" t="str">
        <f>IF(98&lt;=Inputs!$B$3,98,"")</f>
        <v/>
      </c>
      <c r="B405" s="1" t="str">
        <f t="shared" si="46"/>
        <v/>
      </c>
      <c r="C405" s="1" t="str">
        <f>IF($A405="","",Inputs!$B$4*12*(1+Inputs!$B$10/100)^($A405-1))</f>
        <v/>
      </c>
      <c r="D405" s="1" t="str">
        <f>IF($A405="","",B405*((Inputs!$B$5+2)/100))</f>
        <v/>
      </c>
      <c r="E405" s="37" t="str">
        <f>IF($A405="","",IFERROR(IF(OR(Inputs!$B$8&lt;=0,Inputs!$B$8=""),0,IF(AND($A405&gt;=Inputs!$B$8,MOD($A405,Inputs!$B$8)=0),Inputs!$B$7*(1+Inputs!$B$6/100)^$A405,0)),0))</f>
        <v/>
      </c>
      <c r="F405" s="1" t="str">
        <f t="shared" si="47"/>
        <v/>
      </c>
      <c r="G405" s="1">
        <f t="shared" si="45"/>
        <v>0</v>
      </c>
    </row>
    <row r="406" spans="1:7" ht="15.75" customHeight="1" x14ac:dyDescent="0.25">
      <c r="A406" s="1" t="str">
        <f>IF(99&lt;=Inputs!$B$3,99,"")</f>
        <v/>
      </c>
      <c r="B406" s="1" t="str">
        <f t="shared" si="46"/>
        <v/>
      </c>
      <c r="C406" s="1" t="str">
        <f>IF($A406="","",Inputs!$B$4*12*(1+Inputs!$B$10/100)^($A406-1))</f>
        <v/>
      </c>
      <c r="D406" s="1" t="str">
        <f>IF($A406="","",B406*((Inputs!$B$5+2)/100))</f>
        <v/>
      </c>
      <c r="E406" s="37" t="str">
        <f>IF($A406="","",IFERROR(IF(OR(Inputs!$B$8&lt;=0,Inputs!$B$8=""),0,IF(AND($A406&gt;=Inputs!$B$8,MOD($A406,Inputs!$B$8)=0),Inputs!$B$7*(1+Inputs!$B$6/100)^$A406,0)),0))</f>
        <v/>
      </c>
      <c r="F406" s="1" t="str">
        <f t="shared" si="47"/>
        <v/>
      </c>
      <c r="G406" s="1">
        <f t="shared" si="45"/>
        <v>0</v>
      </c>
    </row>
    <row r="407" spans="1:7" ht="15.75" customHeight="1" x14ac:dyDescent="0.25">
      <c r="A407" s="1" t="str">
        <f>IF(100&lt;=Inputs!$B$3,100,"")</f>
        <v/>
      </c>
      <c r="B407" s="1" t="str">
        <f t="shared" si="46"/>
        <v/>
      </c>
      <c r="C407" s="1" t="str">
        <f>IF($A407="","",Inputs!$B$4*12*(1+Inputs!$B$10/100)^($A407-1))</f>
        <v/>
      </c>
      <c r="D407" s="1" t="str">
        <f>IF($A407="","",B407*((Inputs!$B$5+2)/100))</f>
        <v/>
      </c>
      <c r="E407" s="37" t="str">
        <f>IF($A407="","",IFERROR(IF(OR(Inputs!$B$8&lt;=0,Inputs!$B$8=""),0,IF(AND($A407&gt;=Inputs!$B$8,MOD($A407,Inputs!$B$8)=0),Inputs!$B$7*(1+Inputs!$B$6/100)^$A407,0)),0))</f>
        <v/>
      </c>
      <c r="F407" s="1" t="str">
        <f t="shared" si="47"/>
        <v/>
      </c>
      <c r="G407" s="1">
        <f t="shared" si="45"/>
        <v>0</v>
      </c>
    </row>
    <row r="408" spans="1:7" ht="15.75" customHeight="1" x14ac:dyDescent="0.25"/>
    <row r="409" spans="1:7" ht="15.75" customHeight="1" x14ac:dyDescent="0.25"/>
    <row r="410" spans="1:7" ht="15.75" customHeight="1" x14ac:dyDescent="0.25"/>
    <row r="411" spans="1:7" ht="15.75" customHeight="1" x14ac:dyDescent="0.25"/>
    <row r="412" spans="1:7" ht="15.75" customHeight="1" x14ac:dyDescent="0.25"/>
    <row r="413" spans="1:7" ht="15.75" customHeight="1" x14ac:dyDescent="0.25"/>
    <row r="414" spans="1:7" ht="15.75" customHeight="1" x14ac:dyDescent="0.25"/>
    <row r="415" spans="1:7" ht="15.75" customHeight="1" x14ac:dyDescent="0.25"/>
    <row r="416" spans="1:7"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JAy+HnFSFOMO8J/398Ogvefov8KmgGe5uQhvFgDemSFHPEuc7/9qBmlDGskMxgBGod+Wk2p0igSOIQK+Lxy9w==" saltValue="5g87c0LSjjivS0GamgSeGw==" spinCount="100000" sheet="1" formatCells="0" formatColumns="0" formatRows="0" insertColumns="0" insertRows="0" deleteColumns="0" deleteRows="0" selectLockedCells="1" sort="0" autoFilter="0" pivotTables="0" selectUnlockedCells="1"/>
  <mergeCells count="1">
    <mergeCell ref="A1:K1"/>
  </mergeCells>
  <pageMargins left="0.7" right="0.7" top="0.75" bottom="0.75" header="0.511811023622047" footer="0.511811023622047"/>
  <pageSetup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0"/>
  <sheetViews>
    <sheetView zoomScaleNormal="100" workbookViewId="0">
      <selection activeCell="A39" sqref="A39"/>
    </sheetView>
  </sheetViews>
  <sheetFormatPr defaultColWidth="8.7109375" defaultRowHeight="15" customHeight="1" x14ac:dyDescent="0.25"/>
  <cols>
    <col min="1" max="1" width="39" style="1" customWidth="1"/>
    <col min="2" max="2" width="72" style="1" customWidth="1"/>
  </cols>
  <sheetData>
    <row r="1" spans="1:2" ht="36" customHeight="1" x14ac:dyDescent="0.25">
      <c r="A1" s="96" t="s">
        <v>37</v>
      </c>
      <c r="B1" s="96"/>
    </row>
    <row r="3" spans="1:2" ht="21.75" customHeight="1" x14ac:dyDescent="0.25">
      <c r="A3" s="95" t="s">
        <v>38</v>
      </c>
      <c r="B3" s="95"/>
    </row>
    <row r="4" spans="1:2" ht="30" customHeight="1" x14ac:dyDescent="0.25">
      <c r="A4" s="66" t="s">
        <v>39</v>
      </c>
      <c r="B4" s="67" t="s">
        <v>40</v>
      </c>
    </row>
    <row r="5" spans="1:2" ht="30" customHeight="1" x14ac:dyDescent="0.25">
      <c r="A5" s="68" t="s">
        <v>41</v>
      </c>
      <c r="B5" s="67" t="s">
        <v>42</v>
      </c>
    </row>
    <row r="6" spans="1:2" ht="30" customHeight="1" x14ac:dyDescent="0.25">
      <c r="A6" s="66" t="s">
        <v>43</v>
      </c>
      <c r="B6" s="67" t="s">
        <v>44</v>
      </c>
    </row>
    <row r="7" spans="1:2" ht="60" customHeight="1" x14ac:dyDescent="0.25">
      <c r="A7" s="68" t="s">
        <v>45</v>
      </c>
      <c r="B7" s="67" t="s">
        <v>46</v>
      </c>
    </row>
    <row r="8" spans="1:2" ht="30" customHeight="1" x14ac:dyDescent="0.25">
      <c r="A8" s="66" t="s">
        <v>47</v>
      </c>
      <c r="B8" s="67" t="s">
        <v>48</v>
      </c>
    </row>
    <row r="10" spans="1:2" ht="21.75" customHeight="1" x14ac:dyDescent="0.25">
      <c r="A10" s="95" t="s">
        <v>49</v>
      </c>
      <c r="B10" s="95"/>
    </row>
    <row r="11" spans="1:2" ht="30" customHeight="1" x14ac:dyDescent="0.25">
      <c r="A11" s="68" t="s">
        <v>2</v>
      </c>
      <c r="B11" s="67" t="s">
        <v>50</v>
      </c>
    </row>
    <row r="12" spans="1:2" ht="30" customHeight="1" x14ac:dyDescent="0.25">
      <c r="A12" s="66" t="s">
        <v>4</v>
      </c>
      <c r="B12" s="67" t="s">
        <v>51</v>
      </c>
    </row>
    <row r="13" spans="1:2" ht="45" customHeight="1" x14ac:dyDescent="0.25">
      <c r="A13" s="68" t="s">
        <v>5</v>
      </c>
      <c r="B13" s="67" t="s">
        <v>52</v>
      </c>
    </row>
    <row r="14" spans="1:2" ht="45" customHeight="1" x14ac:dyDescent="0.25">
      <c r="A14" s="66" t="s">
        <v>53</v>
      </c>
      <c r="B14" s="67" t="s">
        <v>54</v>
      </c>
    </row>
    <row r="15" spans="1:2" ht="45" customHeight="1" x14ac:dyDescent="0.25">
      <c r="A15" s="68" t="s">
        <v>8</v>
      </c>
      <c r="B15" s="67" t="s">
        <v>55</v>
      </c>
    </row>
    <row r="16" spans="1:2" ht="45" customHeight="1" x14ac:dyDescent="0.25">
      <c r="A16" s="66" t="s">
        <v>56</v>
      </c>
      <c r="B16" s="67" t="s">
        <v>57</v>
      </c>
    </row>
    <row r="17" spans="1:2" ht="45" customHeight="1" x14ac:dyDescent="0.25">
      <c r="A17" s="68" t="s">
        <v>58</v>
      </c>
      <c r="B17" s="67" t="s">
        <v>59</v>
      </c>
    </row>
    <row r="18" spans="1:2" ht="30" customHeight="1" x14ac:dyDescent="0.25">
      <c r="A18" s="66" t="s">
        <v>60</v>
      </c>
      <c r="B18" s="67" t="s">
        <v>61</v>
      </c>
    </row>
    <row r="19" spans="1:2" ht="105" customHeight="1" x14ac:dyDescent="0.25">
      <c r="A19" s="68" t="s">
        <v>62</v>
      </c>
      <c r="B19" s="67" t="s">
        <v>63</v>
      </c>
    </row>
    <row r="21" spans="1:2" ht="21.75" customHeight="1" x14ac:dyDescent="0.25">
      <c r="A21" s="95" t="s">
        <v>64</v>
      </c>
      <c r="B21" s="95"/>
    </row>
    <row r="22" spans="1:2" ht="30" customHeight="1" x14ac:dyDescent="0.25">
      <c r="A22" s="66" t="s">
        <v>12</v>
      </c>
      <c r="B22" s="67" t="s">
        <v>65</v>
      </c>
    </row>
    <row r="23" spans="1:2" ht="30" customHeight="1" x14ac:dyDescent="0.25">
      <c r="A23" s="68" t="s">
        <v>19</v>
      </c>
      <c r="B23" s="67" t="s">
        <v>66</v>
      </c>
    </row>
    <row r="24" spans="1:2" ht="75" customHeight="1" x14ac:dyDescent="0.25">
      <c r="A24" s="66" t="s">
        <v>15</v>
      </c>
      <c r="B24" s="67" t="s">
        <v>67</v>
      </c>
    </row>
    <row r="25" spans="1:2" ht="30" customHeight="1" x14ac:dyDescent="0.25">
      <c r="A25" s="68" t="s">
        <v>18</v>
      </c>
      <c r="B25" s="67" t="s">
        <v>68</v>
      </c>
    </row>
    <row r="27" spans="1:2" ht="21.75" customHeight="1" x14ac:dyDescent="0.25">
      <c r="A27" s="95" t="s">
        <v>69</v>
      </c>
      <c r="B27" s="95"/>
    </row>
    <row r="28" spans="1:2" ht="30" customHeight="1" x14ac:dyDescent="0.25">
      <c r="A28" s="66" t="s">
        <v>70</v>
      </c>
      <c r="B28" s="67" t="s">
        <v>71</v>
      </c>
    </row>
    <row r="29" spans="1:2" ht="30" customHeight="1" x14ac:dyDescent="0.25">
      <c r="A29" s="68" t="s">
        <v>72</v>
      </c>
      <c r="B29" s="67" t="s">
        <v>73</v>
      </c>
    </row>
    <row r="30" spans="1:2" ht="30" customHeight="1" x14ac:dyDescent="0.25">
      <c r="A30" s="66" t="s">
        <v>74</v>
      </c>
      <c r="B30" s="67" t="s">
        <v>75</v>
      </c>
    </row>
    <row r="31" spans="1:2" ht="45" customHeight="1" x14ac:dyDescent="0.25">
      <c r="A31" s="68" t="s">
        <v>76</v>
      </c>
      <c r="B31" s="67" t="s">
        <v>77</v>
      </c>
    </row>
    <row r="32" spans="1:2" ht="45" customHeight="1" x14ac:dyDescent="0.25">
      <c r="A32" s="66" t="s">
        <v>78</v>
      </c>
      <c r="B32" s="67" t="s">
        <v>79</v>
      </c>
    </row>
    <row r="33" spans="1:2" ht="45" customHeight="1" x14ac:dyDescent="0.25">
      <c r="A33" s="68" t="s">
        <v>80</v>
      </c>
      <c r="B33" s="67" t="s">
        <v>81</v>
      </c>
    </row>
    <row r="34" spans="1:2" ht="45" customHeight="1" x14ac:dyDescent="0.25">
      <c r="A34" s="66" t="s">
        <v>82</v>
      </c>
      <c r="B34" s="67" t="s">
        <v>83</v>
      </c>
    </row>
    <row r="35" spans="1:2" ht="30" customHeight="1" x14ac:dyDescent="0.25">
      <c r="A35" s="68" t="s">
        <v>84</v>
      </c>
      <c r="B35" s="67" t="s">
        <v>85</v>
      </c>
    </row>
    <row r="36" spans="1:2" ht="30" customHeight="1" x14ac:dyDescent="0.25">
      <c r="A36" s="66" t="s">
        <v>30</v>
      </c>
      <c r="B36" s="67" t="s">
        <v>86</v>
      </c>
    </row>
    <row r="37" spans="1:2" ht="90" customHeight="1" x14ac:dyDescent="0.25">
      <c r="A37" s="68" t="s">
        <v>87</v>
      </c>
      <c r="B37" s="67" t="s">
        <v>88</v>
      </c>
    </row>
    <row r="38" spans="1:2" ht="15.75" customHeight="1" x14ac:dyDescent="0.25">
      <c r="A38" s="94"/>
      <c r="B38" s="94"/>
    </row>
    <row r="39" spans="1:2" ht="21.75" customHeight="1" x14ac:dyDescent="0.25">
      <c r="A39" s="69" t="s">
        <v>89</v>
      </c>
    </row>
    <row r="40" spans="1:2" ht="202.5" customHeight="1" x14ac:dyDescent="0.25">
      <c r="A40" s="66" t="s">
        <v>90</v>
      </c>
      <c r="B40" s="67" t="s">
        <v>91</v>
      </c>
    </row>
    <row r="41" spans="1:2" ht="15.75" customHeight="1" x14ac:dyDescent="0.25">
      <c r="A41" s="94"/>
      <c r="B41" s="94"/>
    </row>
    <row r="42" spans="1:2" ht="21.75" customHeight="1" x14ac:dyDescent="0.25">
      <c r="A42" s="70" t="s">
        <v>92</v>
      </c>
    </row>
    <row r="43" spans="1:2" ht="57" customHeight="1" x14ac:dyDescent="0.25">
      <c r="A43" s="68" t="s">
        <v>93</v>
      </c>
      <c r="B43" s="67" t="s">
        <v>94</v>
      </c>
    </row>
    <row r="45" spans="1:2" ht="21.75" customHeight="1" x14ac:dyDescent="0.25">
      <c r="A45" s="95" t="s">
        <v>95</v>
      </c>
      <c r="B45" s="95"/>
    </row>
    <row r="46" spans="1:2" ht="45" customHeight="1" x14ac:dyDescent="0.25">
      <c r="A46" s="66" t="s">
        <v>96</v>
      </c>
      <c r="B46" s="67" t="s">
        <v>97</v>
      </c>
    </row>
    <row r="47" spans="1:2" ht="45" customHeight="1" x14ac:dyDescent="0.25">
      <c r="A47" s="68" t="s">
        <v>98</v>
      </c>
      <c r="B47" s="67" t="s">
        <v>99</v>
      </c>
    </row>
    <row r="48" spans="1:2" ht="45" customHeight="1" x14ac:dyDescent="0.25">
      <c r="A48" s="66" t="s">
        <v>100</v>
      </c>
      <c r="B48" s="67" t="s">
        <v>101</v>
      </c>
    </row>
    <row r="49" spans="1:2" ht="45" customHeight="1" x14ac:dyDescent="0.25">
      <c r="A49" s="68" t="s">
        <v>102</v>
      </c>
      <c r="B49" s="67" t="s">
        <v>103</v>
      </c>
    </row>
    <row r="50" spans="1:2" ht="45" customHeight="1" x14ac:dyDescent="0.25">
      <c r="A50" s="66" t="s">
        <v>104</v>
      </c>
      <c r="B50" s="67" t="s">
        <v>105</v>
      </c>
    </row>
  </sheetData>
  <sheetProtection password="DE42" sheet="1" formatCells="0" formatColumns="0" formatRows="0" insertColumns="0" insertRows="0" deleteColumns="0" deleteRows="0" selectLockedCells="1" sort="0" autoFilter="0" pivotTables="0" selectUnlockedCells="1"/>
  <mergeCells count="8">
    <mergeCell ref="A38:B38"/>
    <mergeCell ref="A41:B41"/>
    <mergeCell ref="A45:B45"/>
    <mergeCell ref="A1:B1"/>
    <mergeCell ref="A3:B3"/>
    <mergeCell ref="A10:B10"/>
    <mergeCell ref="A21:B21"/>
    <mergeCell ref="A27:B27"/>
  </mergeCells>
  <pageMargins left="0.75" right="0.75" top="1" bottom="1"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407"/>
  <sheetViews>
    <sheetView zoomScaleNormal="100" workbookViewId="0">
      <selection sqref="A1:D1"/>
    </sheetView>
  </sheetViews>
  <sheetFormatPr defaultColWidth="8.7109375" defaultRowHeight="15" customHeight="1" x14ac:dyDescent="0.25"/>
  <cols>
    <col min="1" max="1" width="28" style="1" customWidth="1"/>
    <col min="2" max="4" width="22" style="1" customWidth="1"/>
  </cols>
  <sheetData>
    <row r="1" spans="1:4" ht="36" customHeight="1" x14ac:dyDescent="0.25">
      <c r="A1" s="96" t="s">
        <v>106</v>
      </c>
      <c r="B1" s="96"/>
      <c r="C1" s="96"/>
      <c r="D1" s="96"/>
    </row>
    <row r="2" spans="1:4" ht="6" customHeight="1" x14ac:dyDescent="0.25"/>
    <row r="3" spans="1:4" ht="24" customHeight="1" x14ac:dyDescent="0.25">
      <c r="A3" s="97" t="s">
        <v>107</v>
      </c>
      <c r="B3" s="97"/>
      <c r="C3" s="97"/>
      <c r="D3" s="97"/>
    </row>
    <row r="4" spans="1:4" ht="6" customHeight="1" x14ac:dyDescent="0.25"/>
    <row r="5" spans="1:4" ht="37.5" customHeight="1" x14ac:dyDescent="0.25">
      <c r="A5" s="71"/>
      <c r="B5" s="72" t="s">
        <v>108</v>
      </c>
      <c r="C5" s="73" t="s">
        <v>109</v>
      </c>
      <c r="D5" s="74" t="s">
        <v>110</v>
      </c>
    </row>
    <row r="6" spans="1:4" ht="19.5" customHeight="1" x14ac:dyDescent="0.25">
      <c r="A6" s="75" t="s">
        <v>2</v>
      </c>
      <c r="B6" s="76">
        <f>Inputs!$B$2</f>
        <v>63</v>
      </c>
      <c r="C6" s="77">
        <f>Inputs!$B$2</f>
        <v>63</v>
      </c>
      <c r="D6" s="78">
        <f>Inputs!$B$2</f>
        <v>63</v>
      </c>
    </row>
    <row r="7" spans="1:4" ht="19.5" customHeight="1" x14ac:dyDescent="0.25">
      <c r="A7" s="79" t="s">
        <v>4</v>
      </c>
      <c r="B7" s="76">
        <f>Inputs!$B$3</f>
        <v>37</v>
      </c>
      <c r="C7" s="77">
        <f>Inputs!$B$3</f>
        <v>37</v>
      </c>
      <c r="D7" s="78">
        <f>Inputs!$B$3</f>
        <v>37</v>
      </c>
    </row>
    <row r="8" spans="1:4" ht="19.5" customHeight="1" x14ac:dyDescent="0.25">
      <c r="A8" s="75" t="s">
        <v>5</v>
      </c>
      <c r="B8" s="80">
        <f>Inputs!$B$4</f>
        <v>400</v>
      </c>
      <c r="C8" s="81">
        <f>Inputs!$B$4</f>
        <v>400</v>
      </c>
      <c r="D8" s="82">
        <f>Inputs!$B$4</f>
        <v>400</v>
      </c>
    </row>
    <row r="9" spans="1:4" ht="19.5" customHeight="1" x14ac:dyDescent="0.25">
      <c r="A9" s="79" t="s">
        <v>111</v>
      </c>
      <c r="B9" s="83">
        <f>(Inputs!$B$5-2)/100</f>
        <v>0.05</v>
      </c>
      <c r="C9" s="84">
        <f>Inputs!$B$5/100</f>
        <v>7.0000000000000007E-2</v>
      </c>
      <c r="D9" s="85">
        <f>(Inputs!$B$5+2)/100</f>
        <v>0.09</v>
      </c>
    </row>
    <row r="10" spans="1:4" ht="19.5" customHeight="1" x14ac:dyDescent="0.25">
      <c r="A10" s="75" t="s">
        <v>112</v>
      </c>
      <c r="B10" s="83">
        <f>Inputs!$B$6/100</f>
        <v>0.03</v>
      </c>
      <c r="C10" s="84">
        <f>Inputs!$B$6/100</f>
        <v>0.03</v>
      </c>
      <c r="D10" s="85">
        <f>Inputs!$B$6/100</f>
        <v>0.03</v>
      </c>
    </row>
    <row r="11" spans="1:4" ht="19.5" customHeight="1" x14ac:dyDescent="0.25">
      <c r="A11" s="79" t="s">
        <v>113</v>
      </c>
      <c r="B11" s="80">
        <f>Inputs!$B$7</f>
        <v>20000</v>
      </c>
      <c r="C11" s="81">
        <f>Inputs!$B$7</f>
        <v>20000</v>
      </c>
      <c r="D11" s="82">
        <f>Inputs!$B$7</f>
        <v>20000</v>
      </c>
    </row>
    <row r="12" spans="1:4" ht="19.5" customHeight="1" x14ac:dyDescent="0.25">
      <c r="A12" s="75" t="s">
        <v>114</v>
      </c>
      <c r="B12" s="76">
        <f>Inputs!$B$8</f>
        <v>7</v>
      </c>
      <c r="C12" s="77">
        <f>Inputs!$B$8</f>
        <v>7</v>
      </c>
      <c r="D12" s="78">
        <f>Inputs!$B$8</f>
        <v>7</v>
      </c>
    </row>
    <row r="13" spans="1:4" ht="19.5" customHeight="1" x14ac:dyDescent="0.25">
      <c r="A13" s="79" t="s">
        <v>60</v>
      </c>
      <c r="B13" s="80">
        <f>Inputs!$B$9</f>
        <v>0</v>
      </c>
      <c r="C13" s="81">
        <f>Inputs!$B$9</f>
        <v>0</v>
      </c>
      <c r="D13" s="82">
        <f>Inputs!$B$9</f>
        <v>0</v>
      </c>
    </row>
    <row r="15" spans="1:4" ht="21.75" customHeight="1" x14ac:dyDescent="0.25">
      <c r="A15" s="98" t="s">
        <v>115</v>
      </c>
      <c r="B15" s="98"/>
      <c r="C15" s="98"/>
      <c r="D15" s="98"/>
    </row>
    <row r="16" spans="1:4" ht="21.75" customHeight="1" x14ac:dyDescent="0.25">
      <c r="A16" s="86" t="s">
        <v>116</v>
      </c>
      <c r="B16" s="87">
        <f>IFERROR(INDEX(Scenarios!$F$106:$F$205,Inputs!$B$3),"")</f>
        <v>74339.084289099163</v>
      </c>
      <c r="C16" s="87">
        <f>IFERROR(INDEX(Scenarios!$F$207:$F$306,Inputs!$B$3),"")</f>
        <v>180572.7831570312</v>
      </c>
      <c r="D16" s="87">
        <f>IFERROR(INDEX(Scenarios!$F$308:$F$407,Inputs!$B$3),"")</f>
        <v>380324.93731254531</v>
      </c>
    </row>
    <row r="17" spans="1:4" ht="21.75" customHeight="1" x14ac:dyDescent="0.25">
      <c r="A17" s="79" t="s">
        <v>3</v>
      </c>
      <c r="B17" s="80">
        <f>IFERROR(SUMIF($A$106:$A$205,"&lt;&gt;",$C$106:$C$205),"")</f>
        <v>177600</v>
      </c>
      <c r="C17" s="81">
        <f>IFERROR(SUMIF($A$207:$A$306,"&lt;&gt;",$C$207:$C$306),"")</f>
        <v>177600</v>
      </c>
      <c r="D17" s="82">
        <f>IFERROR(SUMIF($A$308:$A$407,"&lt;&gt;",$C$308:$C$407),"")</f>
        <v>177600</v>
      </c>
    </row>
    <row r="18" spans="1:4" ht="21.75" customHeight="1" x14ac:dyDescent="0.25">
      <c r="A18" s="75" t="s">
        <v>117</v>
      </c>
      <c r="B18" s="80">
        <f>IFERROR(SUMIF($A$106:$A$205,"&lt;&gt;",$E$106:$E$205),"")</f>
        <v>194090.9658419652</v>
      </c>
      <c r="C18" s="81">
        <f>IFERROR(SUMIF($A$207:$A$306,"&lt;&gt;",$E$207:$E$306),"")</f>
        <v>194090.9658419652</v>
      </c>
      <c r="D18" s="82">
        <f>IFERROR(SUMIF($A$308:$A$407,"&lt;&gt;",$E$308:$E$407),"")</f>
        <v>194090.9658419652</v>
      </c>
    </row>
    <row r="19" spans="1:4" ht="21.75" customHeight="1" x14ac:dyDescent="0.25">
      <c r="A19" s="86" t="s">
        <v>9</v>
      </c>
      <c r="B19" s="87">
        <f>IFERROR(INDEX($F$106:$F$205,Inputs!$B$3)+SUMIF($A$106:$A$205,"&lt;&gt;",$E$106:$E$205)-Inputs!$B$9-SUMIF($A$106:$A$205,"&lt;&gt;",$C$106:$C$205),"")</f>
        <v>90830.050131064374</v>
      </c>
      <c r="C19" s="87">
        <f>IFERROR(INDEX($F$207:$F$306,Inputs!$B$3)+SUMIF($A$207:$A$306,"&lt;&gt;",$E$207:$E$306)-Inputs!$B$9-SUMIF($A$207:$A$306,"&lt;&gt;",$C$207:$C$306),"")</f>
        <v>197063.74899899639</v>
      </c>
      <c r="D19" s="87">
        <f>IFERROR(INDEX($F$308:$F$407,Inputs!$B$3)+SUMIF($A$308:$A$407,"&lt;&gt;",$E$308:$E$407)-Inputs!$B$9-SUMIF($A$308:$A$407,"&lt;&gt;",$C$308:$C$407),"")</f>
        <v>396815.90315451054</v>
      </c>
    </row>
    <row r="20" spans="1:4" ht="21.75" customHeight="1" x14ac:dyDescent="0.25">
      <c r="A20" s="75" t="s">
        <v>118</v>
      </c>
      <c r="B20" s="76">
        <f>IFERROR(COUNTIF($E$106:$E$205,"&gt;0"),"")</f>
        <v>5</v>
      </c>
      <c r="C20" s="77">
        <f>IFERROR(COUNTIF($E$207:$E$306,"&gt;0"),"")</f>
        <v>5</v>
      </c>
      <c r="D20" s="78">
        <f>IFERROR(COUNTIF($E$308:$E$407,"&gt;0"),"")</f>
        <v>5</v>
      </c>
    </row>
    <row r="21" spans="1:4" ht="21.75" customHeight="1" x14ac:dyDescent="0.25">
      <c r="A21" s="79" t="s">
        <v>119</v>
      </c>
      <c r="B21" s="76">
        <f>IFERROR(MATCH(1,$G$106:$G$205,0),"Not reached")</f>
        <v>35</v>
      </c>
      <c r="C21" s="77">
        <f>IFERROR(MATCH(1,$G$207:$G$306,0),"Not reached")</f>
        <v>19</v>
      </c>
      <c r="D21" s="78">
        <f>IFERROR(MATCH(1,$G$308:$G$407,0),"Not reached")</f>
        <v>13</v>
      </c>
    </row>
    <row r="22" spans="1:4" ht="21.75" customHeight="1" x14ac:dyDescent="0.25">
      <c r="A22" s="75" t="s">
        <v>120</v>
      </c>
      <c r="B22" s="76">
        <f>IF(ISNUMBER(B21),Inputs!$B$2+B21-1,"Not reached")</f>
        <v>97</v>
      </c>
      <c r="C22" s="77">
        <f>IF(ISNUMBER(C21),Inputs!$B$2+C21-1,"Not reached")</f>
        <v>81</v>
      </c>
      <c r="D22" s="78">
        <f>IF(ISNUMBER(D21),Inputs!$B$2+D21-1,"Not reached")</f>
        <v>75</v>
      </c>
    </row>
    <row r="23" spans="1:4" ht="21.75" customHeight="1" x14ac:dyDescent="0.25">
      <c r="A23" s="86" t="s">
        <v>121</v>
      </c>
      <c r="B23" s="88">
        <f>IFERROR(INDEX($F$106:$F$205,Inputs!$B$3)/(Inputs!$B$7*(1+Inputs!$B$6/100)^Inputs!$B$3),"")</f>
        <v>1.2451162392602588</v>
      </c>
      <c r="C23" s="88">
        <f>IFERROR(INDEX($F$207:$F$306,Inputs!$B$3)/(Inputs!$B$7*(1+Inputs!$B$6/100)^Inputs!$B$3),"")</f>
        <v>3.0244400617429963</v>
      </c>
      <c r="D23" s="88">
        <f>IFERROR(INDEX($F$308:$F$407,Inputs!$B$3)/(Inputs!$B$7*(1+Inputs!$B$6/100)^Inputs!$B$3),"")</f>
        <v>6.3701182247805779</v>
      </c>
    </row>
    <row r="25" spans="1:4" ht="24" customHeight="1" x14ac:dyDescent="0.25">
      <c r="A25" s="97" t="s">
        <v>122</v>
      </c>
      <c r="B25" s="97"/>
      <c r="C25" s="97"/>
      <c r="D25" s="97"/>
    </row>
    <row r="105" spans="1:7" ht="15" customHeight="1" x14ac:dyDescent="0.25">
      <c r="A105" s="49" t="s">
        <v>123</v>
      </c>
      <c r="B105" s="49" t="s">
        <v>124</v>
      </c>
      <c r="C105" s="49" t="s">
        <v>125</v>
      </c>
      <c r="D105" s="49" t="s">
        <v>126</v>
      </c>
      <c r="E105" s="49" t="s">
        <v>127</v>
      </c>
      <c r="F105" s="49" t="s">
        <v>128</v>
      </c>
      <c r="G105" s="49" t="s">
        <v>129</v>
      </c>
    </row>
    <row r="106" spans="1:7" ht="15" customHeight="1" x14ac:dyDescent="0.25">
      <c r="A106" s="49">
        <f>IF(1&lt;=Inputs!$B$3,1,"")</f>
        <v>1</v>
      </c>
      <c r="B106" s="89">
        <f>IF($A106="","",Inputs!$B$9)</f>
        <v>0</v>
      </c>
      <c r="C106" s="49">
        <f>IF($A106="","",Inputs!$B$4*12*(1+Inputs!$B$10/100)^($A106-1))</f>
        <v>4800</v>
      </c>
      <c r="D106" s="49">
        <f>IF($A106="","",B106*((Inputs!$B$5-2)/100))</f>
        <v>0</v>
      </c>
      <c r="E106" s="49">
        <f>IF($A106="","",IFERROR(IF(OR(Inputs!$B$8&lt;=0,Inputs!$B$8=""),0,IF(AND($A106&gt;=Inputs!$B$8,MOD($A106,Inputs!$B$8)=0),Inputs!$B$7*(1+Inputs!$B$6/100)^$A106,0)),0))</f>
        <v>0</v>
      </c>
      <c r="F106" s="49">
        <f t="shared" ref="F106:F137" si="0">IF($A106="","",B106+C106+D106-E106)</f>
        <v>4800</v>
      </c>
      <c r="G106" s="49">
        <f t="shared" ref="G106:G137" si="1">IF($A106="",0,IF(D106&gt;C106,1,0))</f>
        <v>0</v>
      </c>
    </row>
    <row r="107" spans="1:7" ht="15" customHeight="1" x14ac:dyDescent="0.25">
      <c r="A107" s="49">
        <f>IF(2&lt;=Inputs!$B$3,2,"")</f>
        <v>2</v>
      </c>
      <c r="B107" s="49">
        <f t="shared" ref="B107:B138" si="2">IF($A107="","",F106)</f>
        <v>4800</v>
      </c>
      <c r="C107" s="49">
        <f>IF($A107="","",Inputs!$B$4*12*(1+Inputs!$B$10/100)^($A107-1))</f>
        <v>4800</v>
      </c>
      <c r="D107" s="49">
        <f>IF($A107="","",B107*((Inputs!$B$5-2)/100))</f>
        <v>240</v>
      </c>
      <c r="E107" s="49">
        <f>IF($A107="","",IFERROR(IF(OR(Inputs!$B$8&lt;=0,Inputs!$B$8=""),0,IF(AND($A107&gt;=Inputs!$B$8,MOD($A107,Inputs!$B$8)=0),Inputs!$B$7*(1+Inputs!$B$6/100)^$A107,0)),0))</f>
        <v>0</v>
      </c>
      <c r="F107" s="49">
        <f t="shared" si="0"/>
        <v>9840</v>
      </c>
      <c r="G107" s="49">
        <f t="shared" si="1"/>
        <v>0</v>
      </c>
    </row>
    <row r="108" spans="1:7" ht="15" customHeight="1" x14ac:dyDescent="0.25">
      <c r="A108" s="49">
        <f>IF(3&lt;=Inputs!$B$3,3,"")</f>
        <v>3</v>
      </c>
      <c r="B108" s="49">
        <f t="shared" si="2"/>
        <v>9840</v>
      </c>
      <c r="C108" s="49">
        <f>IF($A108="","",Inputs!$B$4*12*(1+Inputs!$B$10/100)^($A108-1))</f>
        <v>4800</v>
      </c>
      <c r="D108" s="49">
        <f>IF($A108="","",B108*((Inputs!$B$5-2)/100))</f>
        <v>492</v>
      </c>
      <c r="E108" s="49">
        <f>IF($A108="","",IFERROR(IF(OR(Inputs!$B$8&lt;=0,Inputs!$B$8=""),0,IF(AND($A108&gt;=Inputs!$B$8,MOD($A108,Inputs!$B$8)=0),Inputs!$B$7*(1+Inputs!$B$6/100)^$A108,0)),0))</f>
        <v>0</v>
      </c>
      <c r="F108" s="49">
        <f t="shared" si="0"/>
        <v>15132</v>
      </c>
      <c r="G108" s="49">
        <f t="shared" si="1"/>
        <v>0</v>
      </c>
    </row>
    <row r="109" spans="1:7" ht="15" customHeight="1" x14ac:dyDescent="0.25">
      <c r="A109" s="49">
        <f>IF(4&lt;=Inputs!$B$3,4,"")</f>
        <v>4</v>
      </c>
      <c r="B109" s="49">
        <f t="shared" si="2"/>
        <v>15132</v>
      </c>
      <c r="C109" s="49">
        <f>IF($A109="","",Inputs!$B$4*12*(1+Inputs!$B$10/100)^($A109-1))</f>
        <v>4800</v>
      </c>
      <c r="D109" s="49">
        <f>IF($A109="","",B109*((Inputs!$B$5-2)/100))</f>
        <v>756.6</v>
      </c>
      <c r="E109" s="49">
        <f>IF($A109="","",IFERROR(IF(OR(Inputs!$B$8&lt;=0,Inputs!$B$8=""),0,IF(AND($A109&gt;=Inputs!$B$8,MOD($A109,Inputs!$B$8)=0),Inputs!$B$7*(1+Inputs!$B$6/100)^$A109,0)),0))</f>
        <v>0</v>
      </c>
      <c r="F109" s="49">
        <f t="shared" si="0"/>
        <v>20688.599999999999</v>
      </c>
      <c r="G109" s="49">
        <f t="shared" si="1"/>
        <v>0</v>
      </c>
    </row>
    <row r="110" spans="1:7" ht="15" customHeight="1" x14ac:dyDescent="0.25">
      <c r="A110" s="49">
        <f>IF(5&lt;=Inputs!$B$3,5,"")</f>
        <v>5</v>
      </c>
      <c r="B110" s="49">
        <f t="shared" si="2"/>
        <v>20688.599999999999</v>
      </c>
      <c r="C110" s="49">
        <f>IF($A110="","",Inputs!$B$4*12*(1+Inputs!$B$10/100)^($A110-1))</f>
        <v>4800</v>
      </c>
      <c r="D110" s="49">
        <f>IF($A110="","",B110*((Inputs!$B$5-2)/100))</f>
        <v>1034.43</v>
      </c>
      <c r="E110" s="49">
        <f>IF($A110="","",IFERROR(IF(OR(Inputs!$B$8&lt;=0,Inputs!$B$8=""),0,IF(AND($A110&gt;=Inputs!$B$8,MOD($A110,Inputs!$B$8)=0),Inputs!$B$7*(1+Inputs!$B$6/100)^$A110,0)),0))</f>
        <v>0</v>
      </c>
      <c r="F110" s="49">
        <f t="shared" si="0"/>
        <v>26523.03</v>
      </c>
      <c r="G110" s="49">
        <f t="shared" si="1"/>
        <v>0</v>
      </c>
    </row>
    <row r="111" spans="1:7" ht="15" customHeight="1" x14ac:dyDescent="0.25">
      <c r="A111" s="49">
        <f>IF(6&lt;=Inputs!$B$3,6,"")</f>
        <v>6</v>
      </c>
      <c r="B111" s="49">
        <f t="shared" si="2"/>
        <v>26523.03</v>
      </c>
      <c r="C111" s="49">
        <f>IF($A111="","",Inputs!$B$4*12*(1+Inputs!$B$10/100)^($A111-1))</f>
        <v>4800</v>
      </c>
      <c r="D111" s="49">
        <f>IF($A111="","",B111*((Inputs!$B$5-2)/100))</f>
        <v>1326.1514999999999</v>
      </c>
      <c r="E111" s="49">
        <f>IF($A111="","",IFERROR(IF(OR(Inputs!$B$8&lt;=0,Inputs!$B$8=""),0,IF(AND($A111&gt;=Inputs!$B$8,MOD($A111,Inputs!$B$8)=0),Inputs!$B$7*(1+Inputs!$B$6/100)^$A111,0)),0))</f>
        <v>0</v>
      </c>
      <c r="F111" s="49">
        <f t="shared" si="0"/>
        <v>32649.181499999999</v>
      </c>
      <c r="G111" s="49">
        <f t="shared" si="1"/>
        <v>0</v>
      </c>
    </row>
    <row r="112" spans="1:7" ht="15" customHeight="1" x14ac:dyDescent="0.25">
      <c r="A112" s="49">
        <f>IF(7&lt;=Inputs!$B$3,7,"")</f>
        <v>7</v>
      </c>
      <c r="B112" s="49">
        <f t="shared" si="2"/>
        <v>32649.181499999999</v>
      </c>
      <c r="C112" s="49">
        <f>IF($A112="","",Inputs!$B$4*12*(1+Inputs!$B$10/100)^($A112-1))</f>
        <v>4800</v>
      </c>
      <c r="D112" s="49">
        <f>IF($A112="","",B112*((Inputs!$B$5-2)/100))</f>
        <v>1632.459075</v>
      </c>
      <c r="E112" s="49">
        <f>IF($A112="","",IFERROR(IF(OR(Inputs!$B$8&lt;=0,Inputs!$B$8=""),0,IF(AND($A112&gt;=Inputs!$B$8,MOD($A112,Inputs!$B$8)=0),Inputs!$B$7*(1+Inputs!$B$6/100)^$A112,0)),0))</f>
        <v>24597.4773084974</v>
      </c>
      <c r="F112" s="49">
        <f t="shared" si="0"/>
        <v>14484.163266502597</v>
      </c>
      <c r="G112" s="49">
        <f t="shared" si="1"/>
        <v>0</v>
      </c>
    </row>
    <row r="113" spans="1:7" ht="15" customHeight="1" x14ac:dyDescent="0.25">
      <c r="A113" s="49">
        <f>IF(8&lt;=Inputs!$B$3,8,"")</f>
        <v>8</v>
      </c>
      <c r="B113" s="49">
        <f t="shared" si="2"/>
        <v>14484.163266502597</v>
      </c>
      <c r="C113" s="49">
        <f>IF($A113="","",Inputs!$B$4*12*(1+Inputs!$B$10/100)^($A113-1))</f>
        <v>4800</v>
      </c>
      <c r="D113" s="49">
        <f>IF($A113="","",B113*((Inputs!$B$5-2)/100))</f>
        <v>724.20816332512993</v>
      </c>
      <c r="E113" s="49">
        <f>IF($A113="","",IFERROR(IF(OR(Inputs!$B$8&lt;=0,Inputs!$B$8=""),0,IF(AND($A113&gt;=Inputs!$B$8,MOD($A113,Inputs!$B$8)=0),Inputs!$B$7*(1+Inputs!$B$6/100)^$A113,0)),0))</f>
        <v>0</v>
      </c>
      <c r="F113" s="49">
        <f t="shared" si="0"/>
        <v>20008.371429827726</v>
      </c>
      <c r="G113" s="49">
        <f t="shared" si="1"/>
        <v>0</v>
      </c>
    </row>
    <row r="114" spans="1:7" ht="15" customHeight="1" x14ac:dyDescent="0.25">
      <c r="A114" s="49">
        <f>IF(9&lt;=Inputs!$B$3,9,"")</f>
        <v>9</v>
      </c>
      <c r="B114" s="49">
        <f t="shared" si="2"/>
        <v>20008.371429827726</v>
      </c>
      <c r="C114" s="49">
        <f>IF($A114="","",Inputs!$B$4*12*(1+Inputs!$B$10/100)^($A114-1))</f>
        <v>4800</v>
      </c>
      <c r="D114" s="49">
        <f>IF($A114="","",B114*((Inputs!$B$5-2)/100))</f>
        <v>1000.4185714913864</v>
      </c>
      <c r="E114" s="49">
        <f>IF($A114="","",IFERROR(IF(OR(Inputs!$B$8&lt;=0,Inputs!$B$8=""),0,IF(AND($A114&gt;=Inputs!$B$8,MOD($A114,Inputs!$B$8)=0),Inputs!$B$7*(1+Inputs!$B$6/100)^$A114,0)),0))</f>
        <v>0</v>
      </c>
      <c r="F114" s="49">
        <f t="shared" si="0"/>
        <v>25808.790001319114</v>
      </c>
      <c r="G114" s="49">
        <f t="shared" si="1"/>
        <v>0</v>
      </c>
    </row>
    <row r="115" spans="1:7" ht="15" customHeight="1" x14ac:dyDescent="0.25">
      <c r="A115" s="49">
        <f>IF(10&lt;=Inputs!$B$3,10,"")</f>
        <v>10</v>
      </c>
      <c r="B115" s="49">
        <f t="shared" si="2"/>
        <v>25808.790001319114</v>
      </c>
      <c r="C115" s="49">
        <f>IF($A115="","",Inputs!$B$4*12*(1+Inputs!$B$10/100)^($A115-1))</f>
        <v>4800</v>
      </c>
      <c r="D115" s="49">
        <f>IF($A115="","",B115*((Inputs!$B$5-2)/100))</f>
        <v>1290.4395000659558</v>
      </c>
      <c r="E115" s="49">
        <f>IF($A115="","",IFERROR(IF(OR(Inputs!$B$8&lt;=0,Inputs!$B$8=""),0,IF(AND($A115&gt;=Inputs!$B$8,MOD($A115,Inputs!$B$8)=0),Inputs!$B$7*(1+Inputs!$B$6/100)^$A115,0)),0))</f>
        <v>0</v>
      </c>
      <c r="F115" s="49">
        <f t="shared" si="0"/>
        <v>31899.229501385071</v>
      </c>
      <c r="G115" s="49">
        <f t="shared" si="1"/>
        <v>0</v>
      </c>
    </row>
    <row r="116" spans="1:7" ht="15" customHeight="1" x14ac:dyDescent="0.25">
      <c r="A116" s="49">
        <f>IF(11&lt;=Inputs!$B$3,11,"")</f>
        <v>11</v>
      </c>
      <c r="B116" s="49">
        <f t="shared" si="2"/>
        <v>31899.229501385071</v>
      </c>
      <c r="C116" s="49">
        <f>IF($A116="","",Inputs!$B$4*12*(1+Inputs!$B$10/100)^($A116-1))</f>
        <v>4800</v>
      </c>
      <c r="D116" s="49">
        <f>IF($A116="","",B116*((Inputs!$B$5-2)/100))</f>
        <v>1594.9614750692535</v>
      </c>
      <c r="E116" s="49">
        <f>IF($A116="","",IFERROR(IF(OR(Inputs!$B$8&lt;=0,Inputs!$B$8=""),0,IF(AND($A116&gt;=Inputs!$B$8,MOD($A116,Inputs!$B$8)=0),Inputs!$B$7*(1+Inputs!$B$6/100)^$A116,0)),0))</f>
        <v>0</v>
      </c>
      <c r="F116" s="49">
        <f t="shared" si="0"/>
        <v>38294.190976454323</v>
      </c>
      <c r="G116" s="49">
        <f t="shared" si="1"/>
        <v>0</v>
      </c>
    </row>
    <row r="117" spans="1:7" ht="15" customHeight="1" x14ac:dyDescent="0.25">
      <c r="A117" s="49">
        <f>IF(12&lt;=Inputs!$B$3,12,"")</f>
        <v>12</v>
      </c>
      <c r="B117" s="49">
        <f t="shared" si="2"/>
        <v>38294.190976454323</v>
      </c>
      <c r="C117" s="49">
        <f>IF($A117="","",Inputs!$B$4*12*(1+Inputs!$B$10/100)^($A117-1))</f>
        <v>4800</v>
      </c>
      <c r="D117" s="49">
        <f>IF($A117="","",B117*((Inputs!$B$5-2)/100))</f>
        <v>1914.7095488227162</v>
      </c>
      <c r="E117" s="49">
        <f>IF($A117="","",IFERROR(IF(OR(Inputs!$B$8&lt;=0,Inputs!$B$8=""),0,IF(AND($A117&gt;=Inputs!$B$8,MOD($A117,Inputs!$B$8)=0),Inputs!$B$7*(1+Inputs!$B$6/100)^$A117,0)),0))</f>
        <v>0</v>
      </c>
      <c r="F117" s="49">
        <f t="shared" si="0"/>
        <v>45008.900525277037</v>
      </c>
      <c r="G117" s="49">
        <f t="shared" si="1"/>
        <v>0</v>
      </c>
    </row>
    <row r="118" spans="1:7" ht="15" customHeight="1" x14ac:dyDescent="0.25">
      <c r="A118" s="49">
        <f>IF(13&lt;=Inputs!$B$3,13,"")</f>
        <v>13</v>
      </c>
      <c r="B118" s="49">
        <f t="shared" si="2"/>
        <v>45008.900525277037</v>
      </c>
      <c r="C118" s="49">
        <f>IF($A118="","",Inputs!$B$4*12*(1+Inputs!$B$10/100)^($A118-1))</f>
        <v>4800</v>
      </c>
      <c r="D118" s="49">
        <f>IF($A118="","",B118*((Inputs!$B$5-2)/100))</f>
        <v>2250.445026263852</v>
      </c>
      <c r="E118" s="49">
        <f>IF($A118="","",IFERROR(IF(OR(Inputs!$B$8&lt;=0,Inputs!$B$8=""),0,IF(AND($A118&gt;=Inputs!$B$8,MOD($A118,Inputs!$B$8)=0),Inputs!$B$7*(1+Inputs!$B$6/100)^$A118,0)),0))</f>
        <v>0</v>
      </c>
      <c r="F118" s="49">
        <f t="shared" si="0"/>
        <v>52059.345551540886</v>
      </c>
      <c r="G118" s="49">
        <f t="shared" si="1"/>
        <v>0</v>
      </c>
    </row>
    <row r="119" spans="1:7" ht="15" customHeight="1" x14ac:dyDescent="0.25">
      <c r="A119" s="49">
        <f>IF(14&lt;=Inputs!$B$3,14,"")</f>
        <v>14</v>
      </c>
      <c r="B119" s="49">
        <f t="shared" si="2"/>
        <v>52059.345551540886</v>
      </c>
      <c r="C119" s="49">
        <f>IF($A119="","",Inputs!$B$4*12*(1+Inputs!$B$10/100)^($A119-1))</f>
        <v>4800</v>
      </c>
      <c r="D119" s="49">
        <f>IF($A119="","",B119*((Inputs!$B$5-2)/100))</f>
        <v>2602.9672775770446</v>
      </c>
      <c r="E119" s="49">
        <f>IF($A119="","",IFERROR(IF(OR(Inputs!$B$8&lt;=0,Inputs!$B$8=""),0,IF(AND($A119&gt;=Inputs!$B$8,MOD($A119,Inputs!$B$8)=0),Inputs!$B$7*(1+Inputs!$B$6/100)^$A119,0)),0))</f>
        <v>30251.794497102219</v>
      </c>
      <c r="F119" s="49">
        <f t="shared" si="0"/>
        <v>29210.518332015712</v>
      </c>
      <c r="G119" s="49">
        <f t="shared" si="1"/>
        <v>0</v>
      </c>
    </row>
    <row r="120" spans="1:7" ht="15" customHeight="1" x14ac:dyDescent="0.25">
      <c r="A120" s="49">
        <f>IF(15&lt;=Inputs!$B$3,15,"")</f>
        <v>15</v>
      </c>
      <c r="B120" s="49">
        <f t="shared" si="2"/>
        <v>29210.518332015712</v>
      </c>
      <c r="C120" s="49">
        <f>IF($A120="","",Inputs!$B$4*12*(1+Inputs!$B$10/100)^($A120-1))</f>
        <v>4800</v>
      </c>
      <c r="D120" s="49">
        <f>IF($A120="","",B120*((Inputs!$B$5-2)/100))</f>
        <v>1460.5259166007856</v>
      </c>
      <c r="E120" s="49">
        <f>IF($A120="","",IFERROR(IF(OR(Inputs!$B$8&lt;=0,Inputs!$B$8=""),0,IF(AND($A120&gt;=Inputs!$B$8,MOD($A120,Inputs!$B$8)=0),Inputs!$B$7*(1+Inputs!$B$6/100)^$A120,0)),0))</f>
        <v>0</v>
      </c>
      <c r="F120" s="49">
        <f t="shared" si="0"/>
        <v>35471.044248616497</v>
      </c>
      <c r="G120" s="49">
        <f t="shared" si="1"/>
        <v>0</v>
      </c>
    </row>
    <row r="121" spans="1:7" ht="15" customHeight="1" x14ac:dyDescent="0.25">
      <c r="A121" s="49">
        <f>IF(16&lt;=Inputs!$B$3,16,"")</f>
        <v>16</v>
      </c>
      <c r="B121" s="49">
        <f t="shared" si="2"/>
        <v>35471.044248616497</v>
      </c>
      <c r="C121" s="49">
        <f>IF($A121="","",Inputs!$B$4*12*(1+Inputs!$B$10/100)^($A121-1))</f>
        <v>4800</v>
      </c>
      <c r="D121" s="49">
        <f>IF($A121="","",B121*((Inputs!$B$5-2)/100))</f>
        <v>1773.552212430825</v>
      </c>
      <c r="E121" s="49">
        <f>IF($A121="","",IFERROR(IF(OR(Inputs!$B$8&lt;=0,Inputs!$B$8=""),0,IF(AND($A121&gt;=Inputs!$B$8,MOD($A121,Inputs!$B$8)=0),Inputs!$B$7*(1+Inputs!$B$6/100)^$A121,0)),0))</f>
        <v>0</v>
      </c>
      <c r="F121" s="49">
        <f t="shared" si="0"/>
        <v>42044.596461047324</v>
      </c>
      <c r="G121" s="49">
        <f t="shared" si="1"/>
        <v>0</v>
      </c>
    </row>
    <row r="122" spans="1:7" ht="15" customHeight="1" x14ac:dyDescent="0.25">
      <c r="A122" s="49">
        <f>IF(17&lt;=Inputs!$B$3,17,"")</f>
        <v>17</v>
      </c>
      <c r="B122" s="49">
        <f t="shared" si="2"/>
        <v>42044.596461047324</v>
      </c>
      <c r="C122" s="49">
        <f>IF($A122="","",Inputs!$B$4*12*(1+Inputs!$B$10/100)^($A122-1))</f>
        <v>4800</v>
      </c>
      <c r="D122" s="49">
        <f>IF($A122="","",B122*((Inputs!$B$5-2)/100))</f>
        <v>2102.2298230523661</v>
      </c>
      <c r="E122" s="49">
        <f>IF($A122="","",IFERROR(IF(OR(Inputs!$B$8&lt;=0,Inputs!$B$8=""),0,IF(AND($A122&gt;=Inputs!$B$8,MOD($A122,Inputs!$B$8)=0),Inputs!$B$7*(1+Inputs!$B$6/100)^$A122,0)),0))</f>
        <v>0</v>
      </c>
      <c r="F122" s="49">
        <f t="shared" si="0"/>
        <v>48946.82628409969</v>
      </c>
      <c r="G122" s="49">
        <f t="shared" si="1"/>
        <v>0</v>
      </c>
    </row>
    <row r="123" spans="1:7" ht="15" customHeight="1" x14ac:dyDescent="0.25">
      <c r="A123" s="49">
        <f>IF(18&lt;=Inputs!$B$3,18,"")</f>
        <v>18</v>
      </c>
      <c r="B123" s="49">
        <f t="shared" si="2"/>
        <v>48946.82628409969</v>
      </c>
      <c r="C123" s="49">
        <f>IF($A123="","",Inputs!$B$4*12*(1+Inputs!$B$10/100)^($A123-1))</f>
        <v>4800</v>
      </c>
      <c r="D123" s="49">
        <f>IF($A123="","",B123*((Inputs!$B$5-2)/100))</f>
        <v>2447.3413142049844</v>
      </c>
      <c r="E123" s="49">
        <f>IF($A123="","",IFERROR(IF(OR(Inputs!$B$8&lt;=0,Inputs!$B$8=""),0,IF(AND($A123&gt;=Inputs!$B$8,MOD($A123,Inputs!$B$8)=0),Inputs!$B$7*(1+Inputs!$B$6/100)^$A123,0)),0))</f>
        <v>0</v>
      </c>
      <c r="F123" s="49">
        <f t="shared" si="0"/>
        <v>56194.167598304673</v>
      </c>
      <c r="G123" s="49">
        <f t="shared" si="1"/>
        <v>0</v>
      </c>
    </row>
    <row r="124" spans="1:7" ht="15" customHeight="1" x14ac:dyDescent="0.25">
      <c r="A124" s="49">
        <f>IF(19&lt;=Inputs!$B$3,19,"")</f>
        <v>19</v>
      </c>
      <c r="B124" s="49">
        <f t="shared" si="2"/>
        <v>56194.167598304673</v>
      </c>
      <c r="C124" s="49">
        <f>IF($A124="","",Inputs!$B$4*12*(1+Inputs!$B$10/100)^($A124-1))</f>
        <v>4800</v>
      </c>
      <c r="D124" s="49">
        <f>IF($A124="","",B124*((Inputs!$B$5-2)/100))</f>
        <v>2809.7083799152338</v>
      </c>
      <c r="E124" s="49">
        <f>IF($A124="","",IFERROR(IF(OR(Inputs!$B$8&lt;=0,Inputs!$B$8=""),0,IF(AND($A124&gt;=Inputs!$B$8,MOD($A124,Inputs!$B$8)=0),Inputs!$B$7*(1+Inputs!$B$6/100)^$A124,0)),0))</f>
        <v>0</v>
      </c>
      <c r="F124" s="49">
        <f t="shared" si="0"/>
        <v>63803.875978219905</v>
      </c>
      <c r="G124" s="49">
        <f t="shared" si="1"/>
        <v>0</v>
      </c>
    </row>
    <row r="125" spans="1:7" ht="15" customHeight="1" x14ac:dyDescent="0.25">
      <c r="A125" s="49">
        <f>IF(20&lt;=Inputs!$B$3,20,"")</f>
        <v>20</v>
      </c>
      <c r="B125" s="49">
        <f t="shared" si="2"/>
        <v>63803.875978219905</v>
      </c>
      <c r="C125" s="49">
        <f>IF($A125="","",Inputs!$B$4*12*(1+Inputs!$B$10/100)^($A125-1))</f>
        <v>4800</v>
      </c>
      <c r="D125" s="49">
        <f>IF($A125="","",B125*((Inputs!$B$5-2)/100))</f>
        <v>3190.1937989109956</v>
      </c>
      <c r="E125" s="49">
        <f>IF($A125="","",IFERROR(IF(OR(Inputs!$B$8&lt;=0,Inputs!$B$8=""),0,IF(AND($A125&gt;=Inputs!$B$8,MOD($A125,Inputs!$B$8)=0),Inputs!$B$7*(1+Inputs!$B$6/100)^$A125,0)),0))</f>
        <v>0</v>
      </c>
      <c r="F125" s="49">
        <f t="shared" si="0"/>
        <v>71794.069777130906</v>
      </c>
      <c r="G125" s="49">
        <f t="shared" si="1"/>
        <v>0</v>
      </c>
    </row>
    <row r="126" spans="1:7" ht="15" customHeight="1" x14ac:dyDescent="0.25">
      <c r="A126" s="49">
        <f>IF(21&lt;=Inputs!$B$3,21,"")</f>
        <v>21</v>
      </c>
      <c r="B126" s="49">
        <f t="shared" si="2"/>
        <v>71794.069777130906</v>
      </c>
      <c r="C126" s="49">
        <f>IF($A126="","",Inputs!$B$4*12*(1+Inputs!$B$10/100)^($A126-1))</f>
        <v>4800</v>
      </c>
      <c r="D126" s="49">
        <f>IF($A126="","",B126*((Inputs!$B$5-2)/100))</f>
        <v>3589.7034888565454</v>
      </c>
      <c r="E126" s="49">
        <f>IF($A126="","",IFERROR(IF(OR(Inputs!$B$8&lt;=0,Inputs!$B$8=""),0,IF(AND($A126&gt;=Inputs!$B$8,MOD($A126,Inputs!$B$8)=0),Inputs!$B$7*(1+Inputs!$B$6/100)^$A126,0)),0))</f>
        <v>37205.891434189907</v>
      </c>
      <c r="F126" s="49">
        <f t="shared" si="0"/>
        <v>42977.881831797538</v>
      </c>
      <c r="G126" s="49">
        <f t="shared" si="1"/>
        <v>0</v>
      </c>
    </row>
    <row r="127" spans="1:7" ht="15" customHeight="1" x14ac:dyDescent="0.25">
      <c r="A127" s="49">
        <f>IF(22&lt;=Inputs!$B$3,22,"")</f>
        <v>22</v>
      </c>
      <c r="B127" s="49">
        <f t="shared" si="2"/>
        <v>42977.881831797538</v>
      </c>
      <c r="C127" s="49">
        <f>IF($A127="","",Inputs!$B$4*12*(1+Inputs!$B$10/100)^($A127-1))</f>
        <v>4800</v>
      </c>
      <c r="D127" s="49">
        <f>IF($A127="","",B127*((Inputs!$B$5-2)/100))</f>
        <v>2148.894091589877</v>
      </c>
      <c r="E127" s="49">
        <f>IF($A127="","",IFERROR(IF(OR(Inputs!$B$8&lt;=0,Inputs!$B$8=""),0,IF(AND($A127&gt;=Inputs!$B$8,MOD($A127,Inputs!$B$8)=0),Inputs!$B$7*(1+Inputs!$B$6/100)^$A127,0)),0))</f>
        <v>0</v>
      </c>
      <c r="F127" s="49">
        <f t="shared" si="0"/>
        <v>49926.775923387417</v>
      </c>
      <c r="G127" s="49">
        <f t="shared" si="1"/>
        <v>0</v>
      </c>
    </row>
    <row r="128" spans="1:7" ht="15" customHeight="1" x14ac:dyDescent="0.25">
      <c r="A128" s="49">
        <f>IF(23&lt;=Inputs!$B$3,23,"")</f>
        <v>23</v>
      </c>
      <c r="B128" s="49">
        <f t="shared" si="2"/>
        <v>49926.775923387417</v>
      </c>
      <c r="C128" s="49">
        <f>IF($A128="","",Inputs!$B$4*12*(1+Inputs!$B$10/100)^($A128-1))</f>
        <v>4800</v>
      </c>
      <c r="D128" s="49">
        <f>IF($A128="","",B128*((Inputs!$B$5-2)/100))</f>
        <v>2496.3387961693711</v>
      </c>
      <c r="E128" s="49">
        <f>IF($A128="","",IFERROR(IF(OR(Inputs!$B$8&lt;=0,Inputs!$B$8=""),0,IF(AND($A128&gt;=Inputs!$B$8,MOD($A128,Inputs!$B$8)=0),Inputs!$B$7*(1+Inputs!$B$6/100)^$A128,0)),0))</f>
        <v>0</v>
      </c>
      <c r="F128" s="49">
        <f t="shared" si="0"/>
        <v>57223.11471955679</v>
      </c>
      <c r="G128" s="49">
        <f t="shared" si="1"/>
        <v>0</v>
      </c>
    </row>
    <row r="129" spans="1:7" ht="15" customHeight="1" x14ac:dyDescent="0.25">
      <c r="A129" s="49">
        <f>IF(24&lt;=Inputs!$B$3,24,"")</f>
        <v>24</v>
      </c>
      <c r="B129" s="49">
        <f t="shared" si="2"/>
        <v>57223.11471955679</v>
      </c>
      <c r="C129" s="49">
        <f>IF($A129="","",Inputs!$B$4*12*(1+Inputs!$B$10/100)^($A129-1))</f>
        <v>4800</v>
      </c>
      <c r="D129" s="49">
        <f>IF($A129="","",B129*((Inputs!$B$5-2)/100))</f>
        <v>2861.1557359778399</v>
      </c>
      <c r="E129" s="49">
        <f>IF($A129="","",IFERROR(IF(OR(Inputs!$B$8&lt;=0,Inputs!$B$8=""),0,IF(AND($A129&gt;=Inputs!$B$8,MOD($A129,Inputs!$B$8)=0),Inputs!$B$7*(1+Inputs!$B$6/100)^$A129,0)),0))</f>
        <v>0</v>
      </c>
      <c r="F129" s="49">
        <f t="shared" si="0"/>
        <v>64884.270455534628</v>
      </c>
      <c r="G129" s="49">
        <f t="shared" si="1"/>
        <v>0</v>
      </c>
    </row>
    <row r="130" spans="1:7" ht="15" customHeight="1" x14ac:dyDescent="0.25">
      <c r="A130" s="49">
        <f>IF(25&lt;=Inputs!$B$3,25,"")</f>
        <v>25</v>
      </c>
      <c r="B130" s="49">
        <f t="shared" si="2"/>
        <v>64884.270455534628</v>
      </c>
      <c r="C130" s="49">
        <f>IF($A130="","",Inputs!$B$4*12*(1+Inputs!$B$10/100)^($A130-1))</f>
        <v>4800</v>
      </c>
      <c r="D130" s="49">
        <f>IF($A130="","",B130*((Inputs!$B$5-2)/100))</f>
        <v>3244.2135227767317</v>
      </c>
      <c r="E130" s="49">
        <f>IF($A130="","",IFERROR(IF(OR(Inputs!$B$8&lt;=0,Inputs!$B$8=""),0,IF(AND($A130&gt;=Inputs!$B$8,MOD($A130,Inputs!$B$8)=0),Inputs!$B$7*(1+Inputs!$B$6/100)^$A130,0)),0))</f>
        <v>0</v>
      </c>
      <c r="F130" s="49">
        <f t="shared" si="0"/>
        <v>72928.483978311357</v>
      </c>
      <c r="G130" s="49">
        <f t="shared" si="1"/>
        <v>0</v>
      </c>
    </row>
    <row r="131" spans="1:7" ht="15" customHeight="1" x14ac:dyDescent="0.25">
      <c r="A131" s="49">
        <f>IF(26&lt;=Inputs!$B$3,26,"")</f>
        <v>26</v>
      </c>
      <c r="B131" s="49">
        <f t="shared" si="2"/>
        <v>72928.483978311357</v>
      </c>
      <c r="C131" s="49">
        <f>IF($A131="","",Inputs!$B$4*12*(1+Inputs!$B$10/100)^($A131-1))</f>
        <v>4800</v>
      </c>
      <c r="D131" s="49">
        <f>IF($A131="","",B131*((Inputs!$B$5-2)/100))</f>
        <v>3646.424198915568</v>
      </c>
      <c r="E131" s="49">
        <f>IF($A131="","",IFERROR(IF(OR(Inputs!$B$8&lt;=0,Inputs!$B$8=""),0,IF(AND($A131&gt;=Inputs!$B$8,MOD($A131,Inputs!$B$8)=0),Inputs!$B$7*(1+Inputs!$B$6/100)^$A131,0)),0))</f>
        <v>0</v>
      </c>
      <c r="F131" s="49">
        <f t="shared" si="0"/>
        <v>81374.908177226927</v>
      </c>
      <c r="G131" s="49">
        <f t="shared" si="1"/>
        <v>0</v>
      </c>
    </row>
    <row r="132" spans="1:7" ht="15" customHeight="1" x14ac:dyDescent="0.25">
      <c r="A132" s="49">
        <f>IF(27&lt;=Inputs!$B$3,27,"")</f>
        <v>27</v>
      </c>
      <c r="B132" s="49">
        <f t="shared" si="2"/>
        <v>81374.908177226927</v>
      </c>
      <c r="C132" s="49">
        <f>IF($A132="","",Inputs!$B$4*12*(1+Inputs!$B$10/100)^($A132-1))</f>
        <v>4800</v>
      </c>
      <c r="D132" s="49">
        <f>IF($A132="","",B132*((Inputs!$B$5-2)/100))</f>
        <v>4068.7454088613467</v>
      </c>
      <c r="E132" s="49">
        <f>IF($A132="","",IFERROR(IF(OR(Inputs!$B$8&lt;=0,Inputs!$B$8=""),0,IF(AND($A132&gt;=Inputs!$B$8,MOD($A132,Inputs!$B$8)=0),Inputs!$B$7*(1+Inputs!$B$6/100)^$A132,0)),0))</f>
        <v>0</v>
      </c>
      <c r="F132" s="49">
        <f t="shared" si="0"/>
        <v>90243.653586088272</v>
      </c>
      <c r="G132" s="49">
        <f t="shared" si="1"/>
        <v>0</v>
      </c>
    </row>
    <row r="133" spans="1:7" ht="15" customHeight="1" x14ac:dyDescent="0.25">
      <c r="A133" s="49">
        <f>IF(28&lt;=Inputs!$B$3,28,"")</f>
        <v>28</v>
      </c>
      <c r="B133" s="49">
        <f t="shared" si="2"/>
        <v>90243.653586088272</v>
      </c>
      <c r="C133" s="49">
        <f>IF($A133="","",Inputs!$B$4*12*(1+Inputs!$B$10/100)^($A133-1))</f>
        <v>4800</v>
      </c>
      <c r="D133" s="49">
        <f>IF($A133="","",B133*((Inputs!$B$5-2)/100))</f>
        <v>4512.1826793044138</v>
      </c>
      <c r="E133" s="49">
        <f>IF($A133="","",IFERROR(IF(OR(Inputs!$B$8&lt;=0,Inputs!$B$8=""),0,IF(AND($A133&gt;=Inputs!$B$8,MOD($A133,Inputs!$B$8)=0),Inputs!$B$7*(1+Inputs!$B$6/100)^$A133,0)),0))</f>
        <v>45758.553514745203</v>
      </c>
      <c r="F133" s="49">
        <f t="shared" si="0"/>
        <v>53797.282750647486</v>
      </c>
      <c r="G133" s="49">
        <f t="shared" si="1"/>
        <v>0</v>
      </c>
    </row>
    <row r="134" spans="1:7" ht="15" customHeight="1" x14ac:dyDescent="0.25">
      <c r="A134" s="49">
        <f>IF(29&lt;=Inputs!$B$3,29,"")</f>
        <v>29</v>
      </c>
      <c r="B134" s="49">
        <f t="shared" si="2"/>
        <v>53797.282750647486</v>
      </c>
      <c r="C134" s="49">
        <f>IF($A134="","",Inputs!$B$4*12*(1+Inputs!$B$10/100)^($A134-1))</f>
        <v>4800</v>
      </c>
      <c r="D134" s="49">
        <f>IF($A134="","",B134*((Inputs!$B$5-2)/100))</f>
        <v>2689.8641375323746</v>
      </c>
      <c r="E134" s="49">
        <f>IF($A134="","",IFERROR(IF(OR(Inputs!$B$8&lt;=0,Inputs!$B$8=""),0,IF(AND($A134&gt;=Inputs!$B$8,MOD($A134,Inputs!$B$8)=0),Inputs!$B$7*(1+Inputs!$B$6/100)^$A134,0)),0))</f>
        <v>0</v>
      </c>
      <c r="F134" s="49">
        <f t="shared" si="0"/>
        <v>61287.146888179857</v>
      </c>
      <c r="G134" s="49">
        <f t="shared" si="1"/>
        <v>0</v>
      </c>
    </row>
    <row r="135" spans="1:7" ht="15" customHeight="1" x14ac:dyDescent="0.25">
      <c r="A135" s="49">
        <f>IF(30&lt;=Inputs!$B$3,30,"")</f>
        <v>30</v>
      </c>
      <c r="B135" s="49">
        <f t="shared" si="2"/>
        <v>61287.146888179857</v>
      </c>
      <c r="C135" s="49">
        <f>IF($A135="","",Inputs!$B$4*12*(1+Inputs!$B$10/100)^($A135-1))</f>
        <v>4800</v>
      </c>
      <c r="D135" s="49">
        <f>IF($A135="","",B135*((Inputs!$B$5-2)/100))</f>
        <v>3064.357344408993</v>
      </c>
      <c r="E135" s="49">
        <f>IF($A135="","",IFERROR(IF(OR(Inputs!$B$8&lt;=0,Inputs!$B$8=""),0,IF(AND($A135&gt;=Inputs!$B$8,MOD($A135,Inputs!$B$8)=0),Inputs!$B$7*(1+Inputs!$B$6/100)^$A135,0)),0))</f>
        <v>0</v>
      </c>
      <c r="F135" s="49">
        <f t="shared" si="0"/>
        <v>69151.50423258885</v>
      </c>
      <c r="G135" s="49">
        <f t="shared" si="1"/>
        <v>0</v>
      </c>
    </row>
    <row r="136" spans="1:7" ht="15" customHeight="1" x14ac:dyDescent="0.25">
      <c r="A136" s="49">
        <f>IF(31&lt;=Inputs!$B$3,31,"")</f>
        <v>31</v>
      </c>
      <c r="B136" s="49">
        <f t="shared" si="2"/>
        <v>69151.50423258885</v>
      </c>
      <c r="C136" s="49">
        <f>IF($A136="","",Inputs!$B$4*12*(1+Inputs!$B$10/100)^($A136-1))</f>
        <v>4800</v>
      </c>
      <c r="D136" s="49">
        <f>IF($A136="","",B136*((Inputs!$B$5-2)/100))</f>
        <v>3457.5752116294425</v>
      </c>
      <c r="E136" s="49">
        <f>IF($A136="","",IFERROR(IF(OR(Inputs!$B$8&lt;=0,Inputs!$B$8=""),0,IF(AND($A136&gt;=Inputs!$B$8,MOD($A136,Inputs!$B$8)=0),Inputs!$B$7*(1+Inputs!$B$6/100)^$A136,0)),0))</f>
        <v>0</v>
      </c>
      <c r="F136" s="49">
        <f t="shared" si="0"/>
        <v>77409.079444218296</v>
      </c>
      <c r="G136" s="49">
        <f t="shared" si="1"/>
        <v>0</v>
      </c>
    </row>
    <row r="137" spans="1:7" ht="15" customHeight="1" x14ac:dyDescent="0.25">
      <c r="A137" s="49">
        <f>IF(32&lt;=Inputs!$B$3,32,"")</f>
        <v>32</v>
      </c>
      <c r="B137" s="49">
        <f t="shared" si="2"/>
        <v>77409.079444218296</v>
      </c>
      <c r="C137" s="49">
        <f>IF($A137="","",Inputs!$B$4*12*(1+Inputs!$B$10/100)^($A137-1))</f>
        <v>4800</v>
      </c>
      <c r="D137" s="49">
        <f>IF($A137="","",B137*((Inputs!$B$5-2)/100))</f>
        <v>3870.4539722109148</v>
      </c>
      <c r="E137" s="49">
        <f>IF($A137="","",IFERROR(IF(OR(Inputs!$B$8&lt;=0,Inputs!$B$8=""),0,IF(AND($A137&gt;=Inputs!$B$8,MOD($A137,Inputs!$B$8)=0),Inputs!$B$7*(1+Inputs!$B$6/100)^$A137,0)),0))</f>
        <v>0</v>
      </c>
      <c r="F137" s="49">
        <f t="shared" si="0"/>
        <v>86079.533416429214</v>
      </c>
      <c r="G137" s="49">
        <f t="shared" si="1"/>
        <v>0</v>
      </c>
    </row>
    <row r="138" spans="1:7" ht="15" customHeight="1" x14ac:dyDescent="0.25">
      <c r="A138" s="49">
        <f>IF(33&lt;=Inputs!$B$3,33,"")</f>
        <v>33</v>
      </c>
      <c r="B138" s="49">
        <f t="shared" si="2"/>
        <v>86079.533416429214</v>
      </c>
      <c r="C138" s="49">
        <f>IF($A138="","",Inputs!$B$4*12*(1+Inputs!$B$10/100)^($A138-1))</f>
        <v>4800</v>
      </c>
      <c r="D138" s="49">
        <f>IF($A138="","",B138*((Inputs!$B$5-2)/100))</f>
        <v>4303.9766708214611</v>
      </c>
      <c r="E138" s="49">
        <f>IF($A138="","",IFERROR(IF(OR(Inputs!$B$8&lt;=0,Inputs!$B$8=""),0,IF(AND($A138&gt;=Inputs!$B$8,MOD($A138,Inputs!$B$8)=0),Inputs!$B$7*(1+Inputs!$B$6/100)^$A138,0)),0))</f>
        <v>0</v>
      </c>
      <c r="F138" s="49">
        <f t="shared" ref="F138:F169" si="3">IF($A138="","",B138+C138+D138-E138)</f>
        <v>95183.510087250674</v>
      </c>
      <c r="G138" s="49">
        <f t="shared" ref="G138:G169" si="4">IF($A138="",0,IF(D138&gt;C138,1,0))</f>
        <v>0</v>
      </c>
    </row>
    <row r="139" spans="1:7" ht="15" customHeight="1" x14ac:dyDescent="0.25">
      <c r="A139" s="49">
        <f>IF(34&lt;=Inputs!$B$3,34,"")</f>
        <v>34</v>
      </c>
      <c r="B139" s="49">
        <f t="shared" ref="B139:B170" si="5">IF($A139="","",F138)</f>
        <v>95183.510087250674</v>
      </c>
      <c r="C139" s="49">
        <f>IF($A139="","",Inputs!$B$4*12*(1+Inputs!$B$10/100)^($A139-1))</f>
        <v>4800</v>
      </c>
      <c r="D139" s="49">
        <f>IF($A139="","",B139*((Inputs!$B$5-2)/100))</f>
        <v>4759.1755043625335</v>
      </c>
      <c r="E139" s="49">
        <f>IF($A139="","",IFERROR(IF(OR(Inputs!$B$8&lt;=0,Inputs!$B$8=""),0,IF(AND($A139&gt;=Inputs!$B$8,MOD($A139,Inputs!$B$8)=0),Inputs!$B$7*(1+Inputs!$B$6/100)^$A139,0)),0))</f>
        <v>0</v>
      </c>
      <c r="F139" s="49">
        <f t="shared" si="3"/>
        <v>104742.6855916132</v>
      </c>
      <c r="G139" s="49">
        <f t="shared" si="4"/>
        <v>0</v>
      </c>
    </row>
    <row r="140" spans="1:7" ht="15" customHeight="1" x14ac:dyDescent="0.25">
      <c r="A140" s="49">
        <f>IF(35&lt;=Inputs!$B$3,35,"")</f>
        <v>35</v>
      </c>
      <c r="B140" s="49">
        <f t="shared" si="5"/>
        <v>104742.6855916132</v>
      </c>
      <c r="C140" s="49">
        <f>IF($A140="","",Inputs!$B$4*12*(1+Inputs!$B$10/100)^($A140-1))</f>
        <v>4800</v>
      </c>
      <c r="D140" s="49">
        <f>IF($A140="","",B140*((Inputs!$B$5-2)/100))</f>
        <v>5237.1342795806604</v>
      </c>
      <c r="E140" s="49">
        <f>IF($A140="","",IFERROR(IF(OR(Inputs!$B$8&lt;=0,Inputs!$B$8=""),0,IF(AND($A140&gt;=Inputs!$B$8,MOD($A140,Inputs!$B$8)=0),Inputs!$B$7*(1+Inputs!$B$6/100)^$A140,0)),0))</f>
        <v>56277.249087430449</v>
      </c>
      <c r="F140" s="49">
        <f t="shared" si="3"/>
        <v>58502.570783763411</v>
      </c>
      <c r="G140" s="49">
        <f t="shared" si="4"/>
        <v>1</v>
      </c>
    </row>
    <row r="141" spans="1:7" ht="15" customHeight="1" x14ac:dyDescent="0.25">
      <c r="A141" s="49">
        <f>IF(36&lt;=Inputs!$B$3,36,"")</f>
        <v>36</v>
      </c>
      <c r="B141" s="49">
        <f t="shared" si="5"/>
        <v>58502.570783763411</v>
      </c>
      <c r="C141" s="49">
        <f>IF($A141="","",Inputs!$B$4*12*(1+Inputs!$B$10/100)^($A141-1))</f>
        <v>4800</v>
      </c>
      <c r="D141" s="49">
        <f>IF($A141="","",B141*((Inputs!$B$5-2)/100))</f>
        <v>2925.1285391881706</v>
      </c>
      <c r="E141" s="49">
        <f>IF($A141="","",IFERROR(IF(OR(Inputs!$B$8&lt;=0,Inputs!$B$8=""),0,IF(AND($A141&gt;=Inputs!$B$8,MOD($A141,Inputs!$B$8)=0),Inputs!$B$7*(1+Inputs!$B$6/100)^$A141,0)),0))</f>
        <v>0</v>
      </c>
      <c r="F141" s="49">
        <f t="shared" si="3"/>
        <v>66227.699322951579</v>
      </c>
      <c r="G141" s="49">
        <f t="shared" si="4"/>
        <v>0</v>
      </c>
    </row>
    <row r="142" spans="1:7" ht="15" customHeight="1" x14ac:dyDescent="0.25">
      <c r="A142" s="49">
        <f>IF(37&lt;=Inputs!$B$3,37,"")</f>
        <v>37</v>
      </c>
      <c r="B142" s="49">
        <f t="shared" si="5"/>
        <v>66227.699322951579</v>
      </c>
      <c r="C142" s="49">
        <f>IF($A142="","",Inputs!$B$4*12*(1+Inputs!$B$10/100)^($A142-1))</f>
        <v>4800</v>
      </c>
      <c r="D142" s="49">
        <f>IF($A142="","",B142*((Inputs!$B$5-2)/100))</f>
        <v>3311.3849661475792</v>
      </c>
      <c r="E142" s="49">
        <f>IF($A142="","",IFERROR(IF(OR(Inputs!$B$8&lt;=0,Inputs!$B$8=""),0,IF(AND($A142&gt;=Inputs!$B$8,MOD($A142,Inputs!$B$8)=0),Inputs!$B$7*(1+Inputs!$B$6/100)^$A142,0)),0))</f>
        <v>0</v>
      </c>
      <c r="F142" s="49">
        <f t="shared" si="3"/>
        <v>74339.084289099163</v>
      </c>
      <c r="G142" s="49">
        <f t="shared" si="4"/>
        <v>0</v>
      </c>
    </row>
    <row r="143" spans="1:7" ht="15" customHeight="1" x14ac:dyDescent="0.25">
      <c r="A143" s="49" t="str">
        <f>IF(38&lt;=Inputs!$B$3,38,"")</f>
        <v/>
      </c>
      <c r="B143" s="49" t="str">
        <f t="shared" si="5"/>
        <v/>
      </c>
      <c r="C143" s="49" t="str">
        <f>IF($A143="","",Inputs!$B$4*12*(1+Inputs!$B$10/100)^($A143-1))</f>
        <v/>
      </c>
      <c r="D143" s="49" t="str">
        <f>IF($A143="","",B143*((Inputs!$B$5-2)/100))</f>
        <v/>
      </c>
      <c r="E143" s="49" t="str">
        <f>IF($A143="","",IFERROR(IF(OR(Inputs!$B$8&lt;=0,Inputs!$B$8=""),0,IF(AND($A143&gt;=Inputs!$B$8,MOD($A143,Inputs!$B$8)=0),Inputs!$B$7*(1+Inputs!$B$6/100)^$A143,0)),0))</f>
        <v/>
      </c>
      <c r="F143" s="49" t="str">
        <f t="shared" si="3"/>
        <v/>
      </c>
      <c r="G143" s="49">
        <f t="shared" si="4"/>
        <v>0</v>
      </c>
    </row>
    <row r="144" spans="1:7" ht="15" customHeight="1" x14ac:dyDescent="0.25">
      <c r="A144" s="49" t="str">
        <f>IF(39&lt;=Inputs!$B$3,39,"")</f>
        <v/>
      </c>
      <c r="B144" s="49" t="str">
        <f t="shared" si="5"/>
        <v/>
      </c>
      <c r="C144" s="49" t="str">
        <f>IF($A144="","",Inputs!$B$4*12*(1+Inputs!$B$10/100)^($A144-1))</f>
        <v/>
      </c>
      <c r="D144" s="49" t="str">
        <f>IF($A144="","",B144*((Inputs!$B$5-2)/100))</f>
        <v/>
      </c>
      <c r="E144" s="49" t="str">
        <f>IF($A144="","",IFERROR(IF(OR(Inputs!$B$8&lt;=0,Inputs!$B$8=""),0,IF(AND($A144&gt;=Inputs!$B$8,MOD($A144,Inputs!$B$8)=0),Inputs!$B$7*(1+Inputs!$B$6/100)^$A144,0)),0))</f>
        <v/>
      </c>
      <c r="F144" s="49" t="str">
        <f t="shared" si="3"/>
        <v/>
      </c>
      <c r="G144" s="49">
        <f t="shared" si="4"/>
        <v>0</v>
      </c>
    </row>
    <row r="145" spans="1:7" ht="15" customHeight="1" x14ac:dyDescent="0.25">
      <c r="A145" s="49" t="str">
        <f>IF(40&lt;=Inputs!$B$3,40,"")</f>
        <v/>
      </c>
      <c r="B145" s="49" t="str">
        <f t="shared" si="5"/>
        <v/>
      </c>
      <c r="C145" s="49" t="str">
        <f>IF($A145="","",Inputs!$B$4*12*(1+Inputs!$B$10/100)^($A145-1))</f>
        <v/>
      </c>
      <c r="D145" s="49" t="str">
        <f>IF($A145="","",B145*((Inputs!$B$5-2)/100))</f>
        <v/>
      </c>
      <c r="E145" s="49" t="str">
        <f>IF($A145="","",IFERROR(IF(OR(Inputs!$B$8&lt;=0,Inputs!$B$8=""),0,IF(AND($A145&gt;=Inputs!$B$8,MOD($A145,Inputs!$B$8)=0),Inputs!$B$7*(1+Inputs!$B$6/100)^$A145,0)),0))</f>
        <v/>
      </c>
      <c r="F145" s="49" t="str">
        <f t="shared" si="3"/>
        <v/>
      </c>
      <c r="G145" s="49">
        <f t="shared" si="4"/>
        <v>0</v>
      </c>
    </row>
    <row r="146" spans="1:7" ht="15" customHeight="1" x14ac:dyDescent="0.25">
      <c r="A146" s="49" t="str">
        <f>IF(41&lt;=Inputs!$B$3,41,"")</f>
        <v/>
      </c>
      <c r="B146" s="49" t="str">
        <f t="shared" si="5"/>
        <v/>
      </c>
      <c r="C146" s="49" t="str">
        <f>IF($A146="","",Inputs!$B$4*12*(1+Inputs!$B$10/100)^($A146-1))</f>
        <v/>
      </c>
      <c r="D146" s="49" t="str">
        <f>IF($A146="","",B146*((Inputs!$B$5-2)/100))</f>
        <v/>
      </c>
      <c r="E146" s="49" t="str">
        <f>IF($A146="","",IFERROR(IF(OR(Inputs!$B$8&lt;=0,Inputs!$B$8=""),0,IF(AND($A146&gt;=Inputs!$B$8,MOD($A146,Inputs!$B$8)=0),Inputs!$B$7*(1+Inputs!$B$6/100)^$A146,0)),0))</f>
        <v/>
      </c>
      <c r="F146" s="49" t="str">
        <f t="shared" si="3"/>
        <v/>
      </c>
      <c r="G146" s="49">
        <f t="shared" si="4"/>
        <v>0</v>
      </c>
    </row>
    <row r="147" spans="1:7" ht="15" customHeight="1" x14ac:dyDescent="0.25">
      <c r="A147" s="49" t="str">
        <f>IF(42&lt;=Inputs!$B$3,42,"")</f>
        <v/>
      </c>
      <c r="B147" s="49" t="str">
        <f t="shared" si="5"/>
        <v/>
      </c>
      <c r="C147" s="49" t="str">
        <f>IF($A147="","",Inputs!$B$4*12*(1+Inputs!$B$10/100)^($A147-1))</f>
        <v/>
      </c>
      <c r="D147" s="49" t="str">
        <f>IF($A147="","",B147*((Inputs!$B$5-2)/100))</f>
        <v/>
      </c>
      <c r="E147" s="49" t="str">
        <f>IF($A147="","",IFERROR(IF(OR(Inputs!$B$8&lt;=0,Inputs!$B$8=""),0,IF(AND($A147&gt;=Inputs!$B$8,MOD($A147,Inputs!$B$8)=0),Inputs!$B$7*(1+Inputs!$B$6/100)^$A147,0)),0))</f>
        <v/>
      </c>
      <c r="F147" s="49" t="str">
        <f t="shared" si="3"/>
        <v/>
      </c>
      <c r="G147" s="49">
        <f t="shared" si="4"/>
        <v>0</v>
      </c>
    </row>
    <row r="148" spans="1:7" ht="15" customHeight="1" x14ac:dyDescent="0.25">
      <c r="A148" s="49" t="str">
        <f>IF(43&lt;=Inputs!$B$3,43,"")</f>
        <v/>
      </c>
      <c r="B148" s="49" t="str">
        <f t="shared" si="5"/>
        <v/>
      </c>
      <c r="C148" s="49" t="str">
        <f>IF($A148="","",Inputs!$B$4*12*(1+Inputs!$B$10/100)^($A148-1))</f>
        <v/>
      </c>
      <c r="D148" s="49" t="str">
        <f>IF($A148="","",B148*((Inputs!$B$5-2)/100))</f>
        <v/>
      </c>
      <c r="E148" s="49" t="str">
        <f>IF($A148="","",IFERROR(IF(OR(Inputs!$B$8&lt;=0,Inputs!$B$8=""),0,IF(AND($A148&gt;=Inputs!$B$8,MOD($A148,Inputs!$B$8)=0),Inputs!$B$7*(1+Inputs!$B$6/100)^$A148,0)),0))</f>
        <v/>
      </c>
      <c r="F148" s="49" t="str">
        <f t="shared" si="3"/>
        <v/>
      </c>
      <c r="G148" s="49">
        <f t="shared" si="4"/>
        <v>0</v>
      </c>
    </row>
    <row r="149" spans="1:7" ht="15" customHeight="1" x14ac:dyDescent="0.25">
      <c r="A149" s="49" t="str">
        <f>IF(44&lt;=Inputs!$B$3,44,"")</f>
        <v/>
      </c>
      <c r="B149" s="49" t="str">
        <f t="shared" si="5"/>
        <v/>
      </c>
      <c r="C149" s="49" t="str">
        <f>IF($A149="","",Inputs!$B$4*12*(1+Inputs!$B$10/100)^($A149-1))</f>
        <v/>
      </c>
      <c r="D149" s="49" t="str">
        <f>IF($A149="","",B149*((Inputs!$B$5-2)/100))</f>
        <v/>
      </c>
      <c r="E149" s="49" t="str">
        <f>IF($A149="","",IFERROR(IF(OR(Inputs!$B$8&lt;=0,Inputs!$B$8=""),0,IF(AND($A149&gt;=Inputs!$B$8,MOD($A149,Inputs!$B$8)=0),Inputs!$B$7*(1+Inputs!$B$6/100)^$A149,0)),0))</f>
        <v/>
      </c>
      <c r="F149" s="49" t="str">
        <f t="shared" si="3"/>
        <v/>
      </c>
      <c r="G149" s="49">
        <f t="shared" si="4"/>
        <v>0</v>
      </c>
    </row>
    <row r="150" spans="1:7" ht="15" customHeight="1" x14ac:dyDescent="0.25">
      <c r="A150" s="49" t="str">
        <f>IF(45&lt;=Inputs!$B$3,45,"")</f>
        <v/>
      </c>
      <c r="B150" s="49" t="str">
        <f t="shared" si="5"/>
        <v/>
      </c>
      <c r="C150" s="49" t="str">
        <f>IF($A150="","",Inputs!$B$4*12*(1+Inputs!$B$10/100)^($A150-1))</f>
        <v/>
      </c>
      <c r="D150" s="49" t="str">
        <f>IF($A150="","",B150*((Inputs!$B$5-2)/100))</f>
        <v/>
      </c>
      <c r="E150" s="49" t="str">
        <f>IF($A150="","",IFERROR(IF(OR(Inputs!$B$8&lt;=0,Inputs!$B$8=""),0,IF(AND($A150&gt;=Inputs!$B$8,MOD($A150,Inputs!$B$8)=0),Inputs!$B$7*(1+Inputs!$B$6/100)^$A150,0)),0))</f>
        <v/>
      </c>
      <c r="F150" s="49" t="str">
        <f t="shared" si="3"/>
        <v/>
      </c>
      <c r="G150" s="49">
        <f t="shared" si="4"/>
        <v>0</v>
      </c>
    </row>
    <row r="151" spans="1:7" ht="15" customHeight="1" x14ac:dyDescent="0.25">
      <c r="A151" s="49" t="str">
        <f>IF(46&lt;=Inputs!$B$3,46,"")</f>
        <v/>
      </c>
      <c r="B151" s="49" t="str">
        <f t="shared" si="5"/>
        <v/>
      </c>
      <c r="C151" s="49" t="str">
        <f>IF($A151="","",Inputs!$B$4*12*(1+Inputs!$B$10/100)^($A151-1))</f>
        <v/>
      </c>
      <c r="D151" s="49" t="str">
        <f>IF($A151="","",B151*((Inputs!$B$5-2)/100))</f>
        <v/>
      </c>
      <c r="E151" s="49" t="str">
        <f>IF($A151="","",IFERROR(IF(OR(Inputs!$B$8&lt;=0,Inputs!$B$8=""),0,IF(AND($A151&gt;=Inputs!$B$8,MOD($A151,Inputs!$B$8)=0),Inputs!$B$7*(1+Inputs!$B$6/100)^$A151,0)),0))</f>
        <v/>
      </c>
      <c r="F151" s="49" t="str">
        <f t="shared" si="3"/>
        <v/>
      </c>
      <c r="G151" s="49">
        <f t="shared" si="4"/>
        <v>0</v>
      </c>
    </row>
    <row r="152" spans="1:7" ht="15" customHeight="1" x14ac:dyDescent="0.25">
      <c r="A152" s="49" t="str">
        <f>IF(47&lt;=Inputs!$B$3,47,"")</f>
        <v/>
      </c>
      <c r="B152" s="49" t="str">
        <f t="shared" si="5"/>
        <v/>
      </c>
      <c r="C152" s="49" t="str">
        <f>IF($A152="","",Inputs!$B$4*12*(1+Inputs!$B$10/100)^($A152-1))</f>
        <v/>
      </c>
      <c r="D152" s="49" t="str">
        <f>IF($A152="","",B152*((Inputs!$B$5-2)/100))</f>
        <v/>
      </c>
      <c r="E152" s="49" t="str">
        <f>IF($A152="","",IFERROR(IF(OR(Inputs!$B$8&lt;=0,Inputs!$B$8=""),0,IF(AND($A152&gt;=Inputs!$B$8,MOD($A152,Inputs!$B$8)=0),Inputs!$B$7*(1+Inputs!$B$6/100)^$A152,0)),0))</f>
        <v/>
      </c>
      <c r="F152" s="49" t="str">
        <f t="shared" si="3"/>
        <v/>
      </c>
      <c r="G152" s="49">
        <f t="shared" si="4"/>
        <v>0</v>
      </c>
    </row>
    <row r="153" spans="1:7" ht="15" customHeight="1" x14ac:dyDescent="0.25">
      <c r="A153" s="49" t="str">
        <f>IF(48&lt;=Inputs!$B$3,48,"")</f>
        <v/>
      </c>
      <c r="B153" s="49" t="str">
        <f t="shared" si="5"/>
        <v/>
      </c>
      <c r="C153" s="49" t="str">
        <f>IF($A153="","",Inputs!$B$4*12*(1+Inputs!$B$10/100)^($A153-1))</f>
        <v/>
      </c>
      <c r="D153" s="49" t="str">
        <f>IF($A153="","",B153*((Inputs!$B$5-2)/100))</f>
        <v/>
      </c>
      <c r="E153" s="49" t="str">
        <f>IF($A153="","",IFERROR(IF(OR(Inputs!$B$8&lt;=0,Inputs!$B$8=""),0,IF(AND($A153&gt;=Inputs!$B$8,MOD($A153,Inputs!$B$8)=0),Inputs!$B$7*(1+Inputs!$B$6/100)^$A153,0)),0))</f>
        <v/>
      </c>
      <c r="F153" s="49" t="str">
        <f t="shared" si="3"/>
        <v/>
      </c>
      <c r="G153" s="49">
        <f t="shared" si="4"/>
        <v>0</v>
      </c>
    </row>
    <row r="154" spans="1:7" ht="15" customHeight="1" x14ac:dyDescent="0.25">
      <c r="A154" s="49" t="str">
        <f>IF(49&lt;=Inputs!$B$3,49,"")</f>
        <v/>
      </c>
      <c r="B154" s="49" t="str">
        <f t="shared" si="5"/>
        <v/>
      </c>
      <c r="C154" s="49" t="str">
        <f>IF($A154="","",Inputs!$B$4*12*(1+Inputs!$B$10/100)^($A154-1))</f>
        <v/>
      </c>
      <c r="D154" s="49" t="str">
        <f>IF($A154="","",B154*((Inputs!$B$5-2)/100))</f>
        <v/>
      </c>
      <c r="E154" s="49" t="str">
        <f>IF($A154="","",IFERROR(IF(OR(Inputs!$B$8&lt;=0,Inputs!$B$8=""),0,IF(AND($A154&gt;=Inputs!$B$8,MOD($A154,Inputs!$B$8)=0),Inputs!$B$7*(1+Inputs!$B$6/100)^$A154,0)),0))</f>
        <v/>
      </c>
      <c r="F154" s="49" t="str">
        <f t="shared" si="3"/>
        <v/>
      </c>
      <c r="G154" s="49">
        <f t="shared" si="4"/>
        <v>0</v>
      </c>
    </row>
    <row r="155" spans="1:7" ht="15" customHeight="1" x14ac:dyDescent="0.25">
      <c r="A155" s="49" t="str">
        <f>IF(50&lt;=Inputs!$B$3,50,"")</f>
        <v/>
      </c>
      <c r="B155" s="49" t="str">
        <f t="shared" si="5"/>
        <v/>
      </c>
      <c r="C155" s="49" t="str">
        <f>IF($A155="","",Inputs!$B$4*12*(1+Inputs!$B$10/100)^($A155-1))</f>
        <v/>
      </c>
      <c r="D155" s="49" t="str">
        <f>IF($A155="","",B155*((Inputs!$B$5-2)/100))</f>
        <v/>
      </c>
      <c r="E155" s="49" t="str">
        <f>IF($A155="","",IFERROR(IF(OR(Inputs!$B$8&lt;=0,Inputs!$B$8=""),0,IF(AND($A155&gt;=Inputs!$B$8,MOD($A155,Inputs!$B$8)=0),Inputs!$B$7*(1+Inputs!$B$6/100)^$A155,0)),0))</f>
        <v/>
      </c>
      <c r="F155" s="49" t="str">
        <f t="shared" si="3"/>
        <v/>
      </c>
      <c r="G155" s="49">
        <f t="shared" si="4"/>
        <v>0</v>
      </c>
    </row>
    <row r="156" spans="1:7" ht="15" customHeight="1" x14ac:dyDescent="0.25">
      <c r="A156" s="49" t="str">
        <f>IF(51&lt;=Inputs!$B$3,51,"")</f>
        <v/>
      </c>
      <c r="B156" s="49" t="str">
        <f t="shared" si="5"/>
        <v/>
      </c>
      <c r="C156" s="49" t="str">
        <f>IF($A156="","",Inputs!$B$4*12*(1+Inputs!$B$10/100)^($A156-1))</f>
        <v/>
      </c>
      <c r="D156" s="49" t="str">
        <f>IF($A156="","",B156*((Inputs!$B$5-2)/100))</f>
        <v/>
      </c>
      <c r="E156" s="49" t="str">
        <f>IF($A156="","",IFERROR(IF(OR(Inputs!$B$8&lt;=0,Inputs!$B$8=""),0,IF(AND($A156&gt;=Inputs!$B$8,MOD($A156,Inputs!$B$8)=0),Inputs!$B$7*(1+Inputs!$B$6/100)^$A156,0)),0))</f>
        <v/>
      </c>
      <c r="F156" s="49" t="str">
        <f t="shared" si="3"/>
        <v/>
      </c>
      <c r="G156" s="49">
        <f t="shared" si="4"/>
        <v>0</v>
      </c>
    </row>
    <row r="157" spans="1:7" ht="15" customHeight="1" x14ac:dyDescent="0.25">
      <c r="A157" s="49" t="str">
        <f>IF(52&lt;=Inputs!$B$3,52,"")</f>
        <v/>
      </c>
      <c r="B157" s="49" t="str">
        <f t="shared" si="5"/>
        <v/>
      </c>
      <c r="C157" s="49" t="str">
        <f>IF($A157="","",Inputs!$B$4*12*(1+Inputs!$B$10/100)^($A157-1))</f>
        <v/>
      </c>
      <c r="D157" s="49" t="str">
        <f>IF($A157="","",B157*((Inputs!$B$5-2)/100))</f>
        <v/>
      </c>
      <c r="E157" s="49" t="str">
        <f>IF($A157="","",IFERROR(IF(OR(Inputs!$B$8&lt;=0,Inputs!$B$8=""),0,IF(AND($A157&gt;=Inputs!$B$8,MOD($A157,Inputs!$B$8)=0),Inputs!$B$7*(1+Inputs!$B$6/100)^$A157,0)),0))</f>
        <v/>
      </c>
      <c r="F157" s="49" t="str">
        <f t="shared" si="3"/>
        <v/>
      </c>
      <c r="G157" s="49">
        <f t="shared" si="4"/>
        <v>0</v>
      </c>
    </row>
    <row r="158" spans="1:7" ht="15" customHeight="1" x14ac:dyDescent="0.25">
      <c r="A158" s="49" t="str">
        <f>IF(53&lt;=Inputs!$B$3,53,"")</f>
        <v/>
      </c>
      <c r="B158" s="49" t="str">
        <f t="shared" si="5"/>
        <v/>
      </c>
      <c r="C158" s="49" t="str">
        <f>IF($A158="","",Inputs!$B$4*12*(1+Inputs!$B$10/100)^($A158-1))</f>
        <v/>
      </c>
      <c r="D158" s="49" t="str">
        <f>IF($A158="","",B158*((Inputs!$B$5-2)/100))</f>
        <v/>
      </c>
      <c r="E158" s="49" t="str">
        <f>IF($A158="","",IFERROR(IF(OR(Inputs!$B$8&lt;=0,Inputs!$B$8=""),0,IF(AND($A158&gt;=Inputs!$B$8,MOD($A158,Inputs!$B$8)=0),Inputs!$B$7*(1+Inputs!$B$6/100)^$A158,0)),0))</f>
        <v/>
      </c>
      <c r="F158" s="49" t="str">
        <f t="shared" si="3"/>
        <v/>
      </c>
      <c r="G158" s="49">
        <f t="shared" si="4"/>
        <v>0</v>
      </c>
    </row>
    <row r="159" spans="1:7" ht="15" customHeight="1" x14ac:dyDescent="0.25">
      <c r="A159" s="49" t="str">
        <f>IF(54&lt;=Inputs!$B$3,54,"")</f>
        <v/>
      </c>
      <c r="B159" s="49" t="str">
        <f t="shared" si="5"/>
        <v/>
      </c>
      <c r="C159" s="49" t="str">
        <f>IF($A159="","",Inputs!$B$4*12*(1+Inputs!$B$10/100)^($A159-1))</f>
        <v/>
      </c>
      <c r="D159" s="49" t="str">
        <f>IF($A159="","",B159*((Inputs!$B$5-2)/100))</f>
        <v/>
      </c>
      <c r="E159" s="49" t="str">
        <f>IF($A159="","",IFERROR(IF(OR(Inputs!$B$8&lt;=0,Inputs!$B$8=""),0,IF(AND($A159&gt;=Inputs!$B$8,MOD($A159,Inputs!$B$8)=0),Inputs!$B$7*(1+Inputs!$B$6/100)^$A159,0)),0))</f>
        <v/>
      </c>
      <c r="F159" s="49" t="str">
        <f t="shared" si="3"/>
        <v/>
      </c>
      <c r="G159" s="49">
        <f t="shared" si="4"/>
        <v>0</v>
      </c>
    </row>
    <row r="160" spans="1:7" ht="15" customHeight="1" x14ac:dyDescent="0.25">
      <c r="A160" s="49" t="str">
        <f>IF(55&lt;=Inputs!$B$3,55,"")</f>
        <v/>
      </c>
      <c r="B160" s="49" t="str">
        <f t="shared" si="5"/>
        <v/>
      </c>
      <c r="C160" s="49" t="str">
        <f>IF($A160="","",Inputs!$B$4*12*(1+Inputs!$B$10/100)^($A160-1))</f>
        <v/>
      </c>
      <c r="D160" s="49" t="str">
        <f>IF($A160="","",B160*((Inputs!$B$5-2)/100))</f>
        <v/>
      </c>
      <c r="E160" s="49" t="str">
        <f>IF($A160="","",IFERROR(IF(OR(Inputs!$B$8&lt;=0,Inputs!$B$8=""),0,IF(AND($A160&gt;=Inputs!$B$8,MOD($A160,Inputs!$B$8)=0),Inputs!$B$7*(1+Inputs!$B$6/100)^$A160,0)),0))</f>
        <v/>
      </c>
      <c r="F160" s="49" t="str">
        <f t="shared" si="3"/>
        <v/>
      </c>
      <c r="G160" s="49">
        <f t="shared" si="4"/>
        <v>0</v>
      </c>
    </row>
    <row r="161" spans="1:7" ht="15" customHeight="1" x14ac:dyDescent="0.25">
      <c r="A161" s="49" t="str">
        <f>IF(56&lt;=Inputs!$B$3,56,"")</f>
        <v/>
      </c>
      <c r="B161" s="49" t="str">
        <f t="shared" si="5"/>
        <v/>
      </c>
      <c r="C161" s="49" t="str">
        <f>IF($A161="","",Inputs!$B$4*12*(1+Inputs!$B$10/100)^($A161-1))</f>
        <v/>
      </c>
      <c r="D161" s="49" t="str">
        <f>IF($A161="","",B161*((Inputs!$B$5-2)/100))</f>
        <v/>
      </c>
      <c r="E161" s="49" t="str">
        <f>IF($A161="","",IFERROR(IF(OR(Inputs!$B$8&lt;=0,Inputs!$B$8=""),0,IF(AND($A161&gt;=Inputs!$B$8,MOD($A161,Inputs!$B$8)=0),Inputs!$B$7*(1+Inputs!$B$6/100)^$A161,0)),0))</f>
        <v/>
      </c>
      <c r="F161" s="49" t="str">
        <f t="shared" si="3"/>
        <v/>
      </c>
      <c r="G161" s="49">
        <f t="shared" si="4"/>
        <v>0</v>
      </c>
    </row>
    <row r="162" spans="1:7" ht="15" customHeight="1" x14ac:dyDescent="0.25">
      <c r="A162" s="49" t="str">
        <f>IF(57&lt;=Inputs!$B$3,57,"")</f>
        <v/>
      </c>
      <c r="B162" s="49" t="str">
        <f t="shared" si="5"/>
        <v/>
      </c>
      <c r="C162" s="49" t="str">
        <f>IF($A162="","",Inputs!$B$4*12*(1+Inputs!$B$10/100)^($A162-1))</f>
        <v/>
      </c>
      <c r="D162" s="49" t="str">
        <f>IF($A162="","",B162*((Inputs!$B$5-2)/100))</f>
        <v/>
      </c>
      <c r="E162" s="49" t="str">
        <f>IF($A162="","",IFERROR(IF(OR(Inputs!$B$8&lt;=0,Inputs!$B$8=""),0,IF(AND($A162&gt;=Inputs!$B$8,MOD($A162,Inputs!$B$8)=0),Inputs!$B$7*(1+Inputs!$B$6/100)^$A162,0)),0))</f>
        <v/>
      </c>
      <c r="F162" s="49" t="str">
        <f t="shared" si="3"/>
        <v/>
      </c>
      <c r="G162" s="49">
        <f t="shared" si="4"/>
        <v>0</v>
      </c>
    </row>
    <row r="163" spans="1:7" ht="15" customHeight="1" x14ac:dyDescent="0.25">
      <c r="A163" s="49" t="str">
        <f>IF(58&lt;=Inputs!$B$3,58,"")</f>
        <v/>
      </c>
      <c r="B163" s="49" t="str">
        <f t="shared" si="5"/>
        <v/>
      </c>
      <c r="C163" s="49" t="str">
        <f>IF($A163="","",Inputs!$B$4*12*(1+Inputs!$B$10/100)^($A163-1))</f>
        <v/>
      </c>
      <c r="D163" s="49" t="str">
        <f>IF($A163="","",B163*((Inputs!$B$5-2)/100))</f>
        <v/>
      </c>
      <c r="E163" s="49" t="str">
        <f>IF($A163="","",IFERROR(IF(OR(Inputs!$B$8&lt;=0,Inputs!$B$8=""),0,IF(AND($A163&gt;=Inputs!$B$8,MOD($A163,Inputs!$B$8)=0),Inputs!$B$7*(1+Inputs!$B$6/100)^$A163,0)),0))</f>
        <v/>
      </c>
      <c r="F163" s="49" t="str">
        <f t="shared" si="3"/>
        <v/>
      </c>
      <c r="G163" s="49">
        <f t="shared" si="4"/>
        <v>0</v>
      </c>
    </row>
    <row r="164" spans="1:7" ht="15" customHeight="1" x14ac:dyDescent="0.25">
      <c r="A164" s="49" t="str">
        <f>IF(59&lt;=Inputs!$B$3,59,"")</f>
        <v/>
      </c>
      <c r="B164" s="49" t="str">
        <f t="shared" si="5"/>
        <v/>
      </c>
      <c r="C164" s="49" t="str">
        <f>IF($A164="","",Inputs!$B$4*12*(1+Inputs!$B$10/100)^($A164-1))</f>
        <v/>
      </c>
      <c r="D164" s="49" t="str">
        <f>IF($A164="","",B164*((Inputs!$B$5-2)/100))</f>
        <v/>
      </c>
      <c r="E164" s="49" t="str">
        <f>IF($A164="","",IFERROR(IF(OR(Inputs!$B$8&lt;=0,Inputs!$B$8=""),0,IF(AND($A164&gt;=Inputs!$B$8,MOD($A164,Inputs!$B$8)=0),Inputs!$B$7*(1+Inputs!$B$6/100)^$A164,0)),0))</f>
        <v/>
      </c>
      <c r="F164" s="49" t="str">
        <f t="shared" si="3"/>
        <v/>
      </c>
      <c r="G164" s="49">
        <f t="shared" si="4"/>
        <v>0</v>
      </c>
    </row>
    <row r="165" spans="1:7" ht="15" customHeight="1" x14ac:dyDescent="0.25">
      <c r="A165" s="49" t="str">
        <f>IF(60&lt;=Inputs!$B$3,60,"")</f>
        <v/>
      </c>
      <c r="B165" s="49" t="str">
        <f t="shared" si="5"/>
        <v/>
      </c>
      <c r="C165" s="49" t="str">
        <f>IF($A165="","",Inputs!$B$4*12*(1+Inputs!$B$10/100)^($A165-1))</f>
        <v/>
      </c>
      <c r="D165" s="49" t="str">
        <f>IF($A165="","",B165*((Inputs!$B$5-2)/100))</f>
        <v/>
      </c>
      <c r="E165" s="49" t="str">
        <f>IF($A165="","",IFERROR(IF(OR(Inputs!$B$8&lt;=0,Inputs!$B$8=""),0,IF(AND($A165&gt;=Inputs!$B$8,MOD($A165,Inputs!$B$8)=0),Inputs!$B$7*(1+Inputs!$B$6/100)^$A165,0)),0))</f>
        <v/>
      </c>
      <c r="F165" s="49" t="str">
        <f t="shared" si="3"/>
        <v/>
      </c>
      <c r="G165" s="49">
        <f t="shared" si="4"/>
        <v>0</v>
      </c>
    </row>
    <row r="166" spans="1:7" ht="15" customHeight="1" x14ac:dyDescent="0.25">
      <c r="A166" s="49" t="str">
        <f>IF(61&lt;=Inputs!$B$3,61,"")</f>
        <v/>
      </c>
      <c r="B166" s="49" t="str">
        <f t="shared" si="5"/>
        <v/>
      </c>
      <c r="C166" s="49" t="str">
        <f>IF($A166="","",Inputs!$B$4*12*(1+Inputs!$B$10/100)^($A166-1))</f>
        <v/>
      </c>
      <c r="D166" s="49" t="str">
        <f>IF($A166="","",B166*((Inputs!$B$5-2)/100))</f>
        <v/>
      </c>
      <c r="E166" s="49" t="str">
        <f>IF($A166="","",IFERROR(IF(OR(Inputs!$B$8&lt;=0,Inputs!$B$8=""),0,IF(AND($A166&gt;=Inputs!$B$8,MOD($A166,Inputs!$B$8)=0),Inputs!$B$7*(1+Inputs!$B$6/100)^$A166,0)),0))</f>
        <v/>
      </c>
      <c r="F166" s="49" t="str">
        <f t="shared" si="3"/>
        <v/>
      </c>
      <c r="G166" s="49">
        <f t="shared" si="4"/>
        <v>0</v>
      </c>
    </row>
    <row r="167" spans="1:7" ht="15" customHeight="1" x14ac:dyDescent="0.25">
      <c r="A167" s="49" t="str">
        <f>IF(62&lt;=Inputs!$B$3,62,"")</f>
        <v/>
      </c>
      <c r="B167" s="49" t="str">
        <f t="shared" si="5"/>
        <v/>
      </c>
      <c r="C167" s="49" t="str">
        <f>IF($A167="","",Inputs!$B$4*12*(1+Inputs!$B$10/100)^($A167-1))</f>
        <v/>
      </c>
      <c r="D167" s="49" t="str">
        <f>IF($A167="","",B167*((Inputs!$B$5-2)/100))</f>
        <v/>
      </c>
      <c r="E167" s="49" t="str">
        <f>IF($A167="","",IFERROR(IF(OR(Inputs!$B$8&lt;=0,Inputs!$B$8=""),0,IF(AND($A167&gt;=Inputs!$B$8,MOD($A167,Inputs!$B$8)=0),Inputs!$B$7*(1+Inputs!$B$6/100)^$A167,0)),0))</f>
        <v/>
      </c>
      <c r="F167" s="49" t="str">
        <f t="shared" si="3"/>
        <v/>
      </c>
      <c r="G167" s="49">
        <f t="shared" si="4"/>
        <v>0</v>
      </c>
    </row>
    <row r="168" spans="1:7" ht="15" customHeight="1" x14ac:dyDescent="0.25">
      <c r="A168" s="49" t="str">
        <f>IF(63&lt;=Inputs!$B$3,63,"")</f>
        <v/>
      </c>
      <c r="B168" s="49" t="str">
        <f t="shared" si="5"/>
        <v/>
      </c>
      <c r="C168" s="49" t="str">
        <f>IF($A168="","",Inputs!$B$4*12*(1+Inputs!$B$10/100)^($A168-1))</f>
        <v/>
      </c>
      <c r="D168" s="49" t="str">
        <f>IF($A168="","",B168*((Inputs!$B$5-2)/100))</f>
        <v/>
      </c>
      <c r="E168" s="49" t="str">
        <f>IF($A168="","",IFERROR(IF(OR(Inputs!$B$8&lt;=0,Inputs!$B$8=""),0,IF(AND($A168&gt;=Inputs!$B$8,MOD($A168,Inputs!$B$8)=0),Inputs!$B$7*(1+Inputs!$B$6/100)^$A168,0)),0))</f>
        <v/>
      </c>
      <c r="F168" s="49" t="str">
        <f t="shared" si="3"/>
        <v/>
      </c>
      <c r="G168" s="49">
        <f t="shared" si="4"/>
        <v>0</v>
      </c>
    </row>
    <row r="169" spans="1:7" ht="15" customHeight="1" x14ac:dyDescent="0.25">
      <c r="A169" s="49" t="str">
        <f>IF(64&lt;=Inputs!$B$3,64,"")</f>
        <v/>
      </c>
      <c r="B169" s="49" t="str">
        <f t="shared" si="5"/>
        <v/>
      </c>
      <c r="C169" s="49" t="str">
        <f>IF($A169="","",Inputs!$B$4*12*(1+Inputs!$B$10/100)^($A169-1))</f>
        <v/>
      </c>
      <c r="D169" s="49" t="str">
        <f>IF($A169="","",B169*((Inputs!$B$5-2)/100))</f>
        <v/>
      </c>
      <c r="E169" s="49" t="str">
        <f>IF($A169="","",IFERROR(IF(OR(Inputs!$B$8&lt;=0,Inputs!$B$8=""),0,IF(AND($A169&gt;=Inputs!$B$8,MOD($A169,Inputs!$B$8)=0),Inputs!$B$7*(1+Inputs!$B$6/100)^$A169,0)),0))</f>
        <v/>
      </c>
      <c r="F169" s="49" t="str">
        <f t="shared" si="3"/>
        <v/>
      </c>
      <c r="G169" s="49">
        <f t="shared" si="4"/>
        <v>0</v>
      </c>
    </row>
    <row r="170" spans="1:7" ht="15" customHeight="1" x14ac:dyDescent="0.25">
      <c r="A170" s="49" t="str">
        <f>IF(65&lt;=Inputs!$B$3,65,"")</f>
        <v/>
      </c>
      <c r="B170" s="49" t="str">
        <f t="shared" si="5"/>
        <v/>
      </c>
      <c r="C170" s="49" t="str">
        <f>IF($A170="","",Inputs!$B$4*12*(1+Inputs!$B$10/100)^($A170-1))</f>
        <v/>
      </c>
      <c r="D170" s="49" t="str">
        <f>IF($A170="","",B170*((Inputs!$B$5-2)/100))</f>
        <v/>
      </c>
      <c r="E170" s="49" t="str">
        <f>IF($A170="","",IFERROR(IF(OR(Inputs!$B$8&lt;=0,Inputs!$B$8=""),0,IF(AND($A170&gt;=Inputs!$B$8,MOD($A170,Inputs!$B$8)=0),Inputs!$B$7*(1+Inputs!$B$6/100)^$A170,0)),0))</f>
        <v/>
      </c>
      <c r="F170" s="49" t="str">
        <f t="shared" ref="F170:F201" si="6">IF($A170="","",B170+C170+D170-E170)</f>
        <v/>
      </c>
      <c r="G170" s="49">
        <f t="shared" ref="G170:G205" si="7">IF($A170="",0,IF(D170&gt;C170,1,0))</f>
        <v>0</v>
      </c>
    </row>
    <row r="171" spans="1:7" ht="15" customHeight="1" x14ac:dyDescent="0.25">
      <c r="A171" s="49" t="str">
        <f>IF(66&lt;=Inputs!$B$3,66,"")</f>
        <v/>
      </c>
      <c r="B171" s="49" t="str">
        <f t="shared" ref="B171:B205" si="8">IF($A171="","",F170)</f>
        <v/>
      </c>
      <c r="C171" s="49" t="str">
        <f>IF($A171="","",Inputs!$B$4*12*(1+Inputs!$B$10/100)^($A171-1))</f>
        <v/>
      </c>
      <c r="D171" s="49" t="str">
        <f>IF($A171="","",B171*((Inputs!$B$5-2)/100))</f>
        <v/>
      </c>
      <c r="E171" s="49" t="str">
        <f>IF($A171="","",IFERROR(IF(OR(Inputs!$B$8&lt;=0,Inputs!$B$8=""),0,IF(AND($A171&gt;=Inputs!$B$8,MOD($A171,Inputs!$B$8)=0),Inputs!$B$7*(1+Inputs!$B$6/100)^$A171,0)),0))</f>
        <v/>
      </c>
      <c r="F171" s="49" t="str">
        <f t="shared" si="6"/>
        <v/>
      </c>
      <c r="G171" s="49">
        <f t="shared" si="7"/>
        <v>0</v>
      </c>
    </row>
    <row r="172" spans="1:7" ht="15" customHeight="1" x14ac:dyDescent="0.25">
      <c r="A172" s="49" t="str">
        <f>IF(67&lt;=Inputs!$B$3,67,"")</f>
        <v/>
      </c>
      <c r="B172" s="49" t="str">
        <f t="shared" si="8"/>
        <v/>
      </c>
      <c r="C172" s="49" t="str">
        <f>IF($A172="","",Inputs!$B$4*12*(1+Inputs!$B$10/100)^($A172-1))</f>
        <v/>
      </c>
      <c r="D172" s="49" t="str">
        <f>IF($A172="","",B172*((Inputs!$B$5-2)/100))</f>
        <v/>
      </c>
      <c r="E172" s="49" t="str">
        <f>IF($A172="","",IFERROR(IF(OR(Inputs!$B$8&lt;=0,Inputs!$B$8=""),0,IF(AND($A172&gt;=Inputs!$B$8,MOD($A172,Inputs!$B$8)=0),Inputs!$B$7*(1+Inputs!$B$6/100)^$A172,0)),0))</f>
        <v/>
      </c>
      <c r="F172" s="49" t="str">
        <f t="shared" si="6"/>
        <v/>
      </c>
      <c r="G172" s="49">
        <f t="shared" si="7"/>
        <v>0</v>
      </c>
    </row>
    <row r="173" spans="1:7" ht="15" customHeight="1" x14ac:dyDescent="0.25">
      <c r="A173" s="49" t="str">
        <f>IF(68&lt;=Inputs!$B$3,68,"")</f>
        <v/>
      </c>
      <c r="B173" s="49" t="str">
        <f t="shared" si="8"/>
        <v/>
      </c>
      <c r="C173" s="49" t="str">
        <f>IF($A173="","",Inputs!$B$4*12*(1+Inputs!$B$10/100)^($A173-1))</f>
        <v/>
      </c>
      <c r="D173" s="49" t="str">
        <f>IF($A173="","",B173*((Inputs!$B$5-2)/100))</f>
        <v/>
      </c>
      <c r="E173" s="49" t="str">
        <f>IF($A173="","",IFERROR(IF(OR(Inputs!$B$8&lt;=0,Inputs!$B$8=""),0,IF(AND($A173&gt;=Inputs!$B$8,MOD($A173,Inputs!$B$8)=0),Inputs!$B$7*(1+Inputs!$B$6/100)^$A173,0)),0))</f>
        <v/>
      </c>
      <c r="F173" s="49" t="str">
        <f t="shared" si="6"/>
        <v/>
      </c>
      <c r="G173" s="49">
        <f t="shared" si="7"/>
        <v>0</v>
      </c>
    </row>
    <row r="174" spans="1:7" ht="15" customHeight="1" x14ac:dyDescent="0.25">
      <c r="A174" s="49" t="str">
        <f>IF(69&lt;=Inputs!$B$3,69,"")</f>
        <v/>
      </c>
      <c r="B174" s="49" t="str">
        <f t="shared" si="8"/>
        <v/>
      </c>
      <c r="C174" s="49" t="str">
        <f>IF($A174="","",Inputs!$B$4*12*(1+Inputs!$B$10/100)^($A174-1))</f>
        <v/>
      </c>
      <c r="D174" s="49" t="str">
        <f>IF($A174="","",B174*((Inputs!$B$5-2)/100))</f>
        <v/>
      </c>
      <c r="E174" s="49" t="str">
        <f>IF($A174="","",IFERROR(IF(OR(Inputs!$B$8&lt;=0,Inputs!$B$8=""),0,IF(AND($A174&gt;=Inputs!$B$8,MOD($A174,Inputs!$B$8)=0),Inputs!$B$7*(1+Inputs!$B$6/100)^$A174,0)),0))</f>
        <v/>
      </c>
      <c r="F174" s="49" t="str">
        <f t="shared" si="6"/>
        <v/>
      </c>
      <c r="G174" s="49">
        <f t="shared" si="7"/>
        <v>0</v>
      </c>
    </row>
    <row r="175" spans="1:7" ht="15" customHeight="1" x14ac:dyDescent="0.25">
      <c r="A175" s="49" t="str">
        <f>IF(70&lt;=Inputs!$B$3,70,"")</f>
        <v/>
      </c>
      <c r="B175" s="49" t="str">
        <f t="shared" si="8"/>
        <v/>
      </c>
      <c r="C175" s="49" t="str">
        <f>IF($A175="","",Inputs!$B$4*12*(1+Inputs!$B$10/100)^($A175-1))</f>
        <v/>
      </c>
      <c r="D175" s="49" t="str">
        <f>IF($A175="","",B175*((Inputs!$B$5-2)/100))</f>
        <v/>
      </c>
      <c r="E175" s="49" t="str">
        <f>IF($A175="","",IFERROR(IF(OR(Inputs!$B$8&lt;=0,Inputs!$B$8=""),0,IF(AND($A175&gt;=Inputs!$B$8,MOD($A175,Inputs!$B$8)=0),Inputs!$B$7*(1+Inputs!$B$6/100)^$A175,0)),0))</f>
        <v/>
      </c>
      <c r="F175" s="49" t="str">
        <f t="shared" si="6"/>
        <v/>
      </c>
      <c r="G175" s="49">
        <f t="shared" si="7"/>
        <v>0</v>
      </c>
    </row>
    <row r="176" spans="1:7" ht="15" customHeight="1" x14ac:dyDescent="0.25">
      <c r="A176" s="49" t="str">
        <f>IF(71&lt;=Inputs!$B$3,71,"")</f>
        <v/>
      </c>
      <c r="B176" s="49" t="str">
        <f t="shared" si="8"/>
        <v/>
      </c>
      <c r="C176" s="49" t="str">
        <f>IF($A176="","",Inputs!$B$4*12*(1+Inputs!$B$10/100)^($A176-1))</f>
        <v/>
      </c>
      <c r="D176" s="49" t="str">
        <f>IF($A176="","",B176*((Inputs!$B$5-2)/100))</f>
        <v/>
      </c>
      <c r="E176" s="49" t="str">
        <f>IF($A176="","",IFERROR(IF(OR(Inputs!$B$8&lt;=0,Inputs!$B$8=""),0,IF(AND($A176&gt;=Inputs!$B$8,MOD($A176,Inputs!$B$8)=0),Inputs!$B$7*(1+Inputs!$B$6/100)^$A176,0)),0))</f>
        <v/>
      </c>
      <c r="F176" s="49" t="str">
        <f t="shared" si="6"/>
        <v/>
      </c>
      <c r="G176" s="49">
        <f t="shared" si="7"/>
        <v>0</v>
      </c>
    </row>
    <row r="177" spans="1:7" ht="15" customHeight="1" x14ac:dyDescent="0.25">
      <c r="A177" s="49" t="str">
        <f>IF(72&lt;=Inputs!$B$3,72,"")</f>
        <v/>
      </c>
      <c r="B177" s="49" t="str">
        <f t="shared" si="8"/>
        <v/>
      </c>
      <c r="C177" s="49" t="str">
        <f>IF($A177="","",Inputs!$B$4*12*(1+Inputs!$B$10/100)^($A177-1))</f>
        <v/>
      </c>
      <c r="D177" s="49" t="str">
        <f>IF($A177="","",B177*((Inputs!$B$5-2)/100))</f>
        <v/>
      </c>
      <c r="E177" s="49" t="str">
        <f>IF($A177="","",IFERROR(IF(OR(Inputs!$B$8&lt;=0,Inputs!$B$8=""),0,IF(AND($A177&gt;=Inputs!$B$8,MOD($A177,Inputs!$B$8)=0),Inputs!$B$7*(1+Inputs!$B$6/100)^$A177,0)),0))</f>
        <v/>
      </c>
      <c r="F177" s="49" t="str">
        <f t="shared" si="6"/>
        <v/>
      </c>
      <c r="G177" s="49">
        <f t="shared" si="7"/>
        <v>0</v>
      </c>
    </row>
    <row r="178" spans="1:7" ht="15" customHeight="1" x14ac:dyDescent="0.25">
      <c r="A178" s="49" t="str">
        <f>IF(73&lt;=Inputs!$B$3,73,"")</f>
        <v/>
      </c>
      <c r="B178" s="49" t="str">
        <f t="shared" si="8"/>
        <v/>
      </c>
      <c r="C178" s="49" t="str">
        <f>IF($A178="","",Inputs!$B$4*12*(1+Inputs!$B$10/100)^($A178-1))</f>
        <v/>
      </c>
      <c r="D178" s="49" t="str">
        <f>IF($A178="","",B178*((Inputs!$B$5-2)/100))</f>
        <v/>
      </c>
      <c r="E178" s="49" t="str">
        <f>IF($A178="","",IFERROR(IF(OR(Inputs!$B$8&lt;=0,Inputs!$B$8=""),0,IF(AND($A178&gt;=Inputs!$B$8,MOD($A178,Inputs!$B$8)=0),Inputs!$B$7*(1+Inputs!$B$6/100)^$A178,0)),0))</f>
        <v/>
      </c>
      <c r="F178" s="49" t="str">
        <f t="shared" si="6"/>
        <v/>
      </c>
      <c r="G178" s="49">
        <f t="shared" si="7"/>
        <v>0</v>
      </c>
    </row>
    <row r="179" spans="1:7" ht="15" customHeight="1" x14ac:dyDescent="0.25">
      <c r="A179" s="49" t="str">
        <f>IF(74&lt;=Inputs!$B$3,74,"")</f>
        <v/>
      </c>
      <c r="B179" s="49" t="str">
        <f t="shared" si="8"/>
        <v/>
      </c>
      <c r="C179" s="49" t="str">
        <f>IF($A179="","",Inputs!$B$4*12*(1+Inputs!$B$10/100)^($A179-1))</f>
        <v/>
      </c>
      <c r="D179" s="49" t="str">
        <f>IF($A179="","",B179*((Inputs!$B$5-2)/100))</f>
        <v/>
      </c>
      <c r="E179" s="49" t="str">
        <f>IF($A179="","",IFERROR(IF(OR(Inputs!$B$8&lt;=0,Inputs!$B$8=""),0,IF(AND($A179&gt;=Inputs!$B$8,MOD($A179,Inputs!$B$8)=0),Inputs!$B$7*(1+Inputs!$B$6/100)^$A179,0)),0))</f>
        <v/>
      </c>
      <c r="F179" s="49" t="str">
        <f t="shared" si="6"/>
        <v/>
      </c>
      <c r="G179" s="49">
        <f t="shared" si="7"/>
        <v>0</v>
      </c>
    </row>
    <row r="180" spans="1:7" ht="15" customHeight="1" x14ac:dyDescent="0.25">
      <c r="A180" s="49" t="str">
        <f>IF(75&lt;=Inputs!$B$3,75,"")</f>
        <v/>
      </c>
      <c r="B180" s="49" t="str">
        <f t="shared" si="8"/>
        <v/>
      </c>
      <c r="C180" s="49" t="str">
        <f>IF($A180="","",Inputs!$B$4*12*(1+Inputs!$B$10/100)^($A180-1))</f>
        <v/>
      </c>
      <c r="D180" s="49" t="str">
        <f>IF($A180="","",B180*((Inputs!$B$5-2)/100))</f>
        <v/>
      </c>
      <c r="E180" s="49" t="str">
        <f>IF($A180="","",IFERROR(IF(OR(Inputs!$B$8&lt;=0,Inputs!$B$8=""),0,IF(AND($A180&gt;=Inputs!$B$8,MOD($A180,Inputs!$B$8)=0),Inputs!$B$7*(1+Inputs!$B$6/100)^$A180,0)),0))</f>
        <v/>
      </c>
      <c r="F180" s="49" t="str">
        <f t="shared" si="6"/>
        <v/>
      </c>
      <c r="G180" s="49">
        <f t="shared" si="7"/>
        <v>0</v>
      </c>
    </row>
    <row r="181" spans="1:7" ht="15" customHeight="1" x14ac:dyDescent="0.25">
      <c r="A181" s="49" t="str">
        <f>IF(76&lt;=Inputs!$B$3,76,"")</f>
        <v/>
      </c>
      <c r="B181" s="49" t="str">
        <f t="shared" si="8"/>
        <v/>
      </c>
      <c r="C181" s="49" t="str">
        <f>IF($A181="","",Inputs!$B$4*12*(1+Inputs!$B$10/100)^($A181-1))</f>
        <v/>
      </c>
      <c r="D181" s="49" t="str">
        <f>IF($A181="","",B181*((Inputs!$B$5-2)/100))</f>
        <v/>
      </c>
      <c r="E181" s="49" t="str">
        <f>IF($A181="","",IFERROR(IF(OR(Inputs!$B$8&lt;=0,Inputs!$B$8=""),0,IF(AND($A181&gt;=Inputs!$B$8,MOD($A181,Inputs!$B$8)=0),Inputs!$B$7*(1+Inputs!$B$6/100)^$A181,0)),0))</f>
        <v/>
      </c>
      <c r="F181" s="49" t="str">
        <f t="shared" si="6"/>
        <v/>
      </c>
      <c r="G181" s="49">
        <f t="shared" si="7"/>
        <v>0</v>
      </c>
    </row>
    <row r="182" spans="1:7" ht="15" customHeight="1" x14ac:dyDescent="0.25">
      <c r="A182" s="49" t="str">
        <f>IF(77&lt;=Inputs!$B$3,77,"")</f>
        <v/>
      </c>
      <c r="B182" s="49" t="str">
        <f t="shared" si="8"/>
        <v/>
      </c>
      <c r="C182" s="49" t="str">
        <f>IF($A182="","",Inputs!$B$4*12*(1+Inputs!$B$10/100)^($A182-1))</f>
        <v/>
      </c>
      <c r="D182" s="49" t="str">
        <f>IF($A182="","",B182*((Inputs!$B$5-2)/100))</f>
        <v/>
      </c>
      <c r="E182" s="49" t="str">
        <f>IF($A182="","",IFERROR(IF(OR(Inputs!$B$8&lt;=0,Inputs!$B$8=""),0,IF(AND($A182&gt;=Inputs!$B$8,MOD($A182,Inputs!$B$8)=0),Inputs!$B$7*(1+Inputs!$B$6/100)^$A182,0)),0))</f>
        <v/>
      </c>
      <c r="F182" s="49" t="str">
        <f t="shared" si="6"/>
        <v/>
      </c>
      <c r="G182" s="49">
        <f t="shared" si="7"/>
        <v>0</v>
      </c>
    </row>
    <row r="183" spans="1:7" ht="15" customHeight="1" x14ac:dyDescent="0.25">
      <c r="A183" s="49" t="str">
        <f>IF(78&lt;=Inputs!$B$3,78,"")</f>
        <v/>
      </c>
      <c r="B183" s="49" t="str">
        <f t="shared" si="8"/>
        <v/>
      </c>
      <c r="C183" s="49" t="str">
        <f>IF($A183="","",Inputs!$B$4*12*(1+Inputs!$B$10/100)^($A183-1))</f>
        <v/>
      </c>
      <c r="D183" s="49" t="str">
        <f>IF($A183="","",B183*((Inputs!$B$5-2)/100))</f>
        <v/>
      </c>
      <c r="E183" s="49" t="str">
        <f>IF($A183="","",IFERROR(IF(OR(Inputs!$B$8&lt;=0,Inputs!$B$8=""),0,IF(AND($A183&gt;=Inputs!$B$8,MOD($A183,Inputs!$B$8)=0),Inputs!$B$7*(1+Inputs!$B$6/100)^$A183,0)),0))</f>
        <v/>
      </c>
      <c r="F183" s="49" t="str">
        <f t="shared" si="6"/>
        <v/>
      </c>
      <c r="G183" s="49">
        <f t="shared" si="7"/>
        <v>0</v>
      </c>
    </row>
    <row r="184" spans="1:7" ht="15" customHeight="1" x14ac:dyDescent="0.25">
      <c r="A184" s="49" t="str">
        <f>IF(79&lt;=Inputs!$B$3,79,"")</f>
        <v/>
      </c>
      <c r="B184" s="49" t="str">
        <f t="shared" si="8"/>
        <v/>
      </c>
      <c r="C184" s="49" t="str">
        <f>IF($A184="","",Inputs!$B$4*12*(1+Inputs!$B$10/100)^($A184-1))</f>
        <v/>
      </c>
      <c r="D184" s="49" t="str">
        <f>IF($A184="","",B184*((Inputs!$B$5-2)/100))</f>
        <v/>
      </c>
      <c r="E184" s="49" t="str">
        <f>IF($A184="","",IFERROR(IF(OR(Inputs!$B$8&lt;=0,Inputs!$B$8=""),0,IF(AND($A184&gt;=Inputs!$B$8,MOD($A184,Inputs!$B$8)=0),Inputs!$B$7*(1+Inputs!$B$6/100)^$A184,0)),0))</f>
        <v/>
      </c>
      <c r="F184" s="49" t="str">
        <f t="shared" si="6"/>
        <v/>
      </c>
      <c r="G184" s="49">
        <f t="shared" si="7"/>
        <v>0</v>
      </c>
    </row>
    <row r="185" spans="1:7" ht="15" customHeight="1" x14ac:dyDescent="0.25">
      <c r="A185" s="49" t="str">
        <f>IF(80&lt;=Inputs!$B$3,80,"")</f>
        <v/>
      </c>
      <c r="B185" s="49" t="str">
        <f t="shared" si="8"/>
        <v/>
      </c>
      <c r="C185" s="49" t="str">
        <f>IF($A185="","",Inputs!$B$4*12*(1+Inputs!$B$10/100)^($A185-1))</f>
        <v/>
      </c>
      <c r="D185" s="49" t="str">
        <f>IF($A185="","",B185*((Inputs!$B$5-2)/100))</f>
        <v/>
      </c>
      <c r="E185" s="49" t="str">
        <f>IF($A185="","",IFERROR(IF(OR(Inputs!$B$8&lt;=0,Inputs!$B$8=""),0,IF(AND($A185&gt;=Inputs!$B$8,MOD($A185,Inputs!$B$8)=0),Inputs!$B$7*(1+Inputs!$B$6/100)^$A185,0)),0))</f>
        <v/>
      </c>
      <c r="F185" s="49" t="str">
        <f t="shared" si="6"/>
        <v/>
      </c>
      <c r="G185" s="49">
        <f t="shared" si="7"/>
        <v>0</v>
      </c>
    </row>
    <row r="186" spans="1:7" ht="15" customHeight="1" x14ac:dyDescent="0.25">
      <c r="A186" s="49" t="str">
        <f>IF(81&lt;=Inputs!$B$3,81,"")</f>
        <v/>
      </c>
      <c r="B186" s="49" t="str">
        <f t="shared" si="8"/>
        <v/>
      </c>
      <c r="C186" s="49" t="str">
        <f>IF($A186="","",Inputs!$B$4*12*(1+Inputs!$B$10/100)^($A186-1))</f>
        <v/>
      </c>
      <c r="D186" s="49" t="str">
        <f>IF($A186="","",B186*((Inputs!$B$5-2)/100))</f>
        <v/>
      </c>
      <c r="E186" s="49" t="str">
        <f>IF($A186="","",IFERROR(IF(OR(Inputs!$B$8&lt;=0,Inputs!$B$8=""),0,IF(AND($A186&gt;=Inputs!$B$8,MOD($A186,Inputs!$B$8)=0),Inputs!$B$7*(1+Inputs!$B$6/100)^$A186,0)),0))</f>
        <v/>
      </c>
      <c r="F186" s="49" t="str">
        <f t="shared" si="6"/>
        <v/>
      </c>
      <c r="G186" s="49">
        <f t="shared" si="7"/>
        <v>0</v>
      </c>
    </row>
    <row r="187" spans="1:7" ht="15" customHeight="1" x14ac:dyDescent="0.25">
      <c r="A187" s="49" t="str">
        <f>IF(82&lt;=Inputs!$B$3,82,"")</f>
        <v/>
      </c>
      <c r="B187" s="49" t="str">
        <f t="shared" si="8"/>
        <v/>
      </c>
      <c r="C187" s="49" t="str">
        <f>IF($A187="","",Inputs!$B$4*12*(1+Inputs!$B$10/100)^($A187-1))</f>
        <v/>
      </c>
      <c r="D187" s="49" t="str">
        <f>IF($A187="","",B187*((Inputs!$B$5-2)/100))</f>
        <v/>
      </c>
      <c r="E187" s="49" t="str">
        <f>IF($A187="","",IFERROR(IF(OR(Inputs!$B$8&lt;=0,Inputs!$B$8=""),0,IF(AND($A187&gt;=Inputs!$B$8,MOD($A187,Inputs!$B$8)=0),Inputs!$B$7*(1+Inputs!$B$6/100)^$A187,0)),0))</f>
        <v/>
      </c>
      <c r="F187" s="49" t="str">
        <f t="shared" si="6"/>
        <v/>
      </c>
      <c r="G187" s="49">
        <f t="shared" si="7"/>
        <v>0</v>
      </c>
    </row>
    <row r="188" spans="1:7" ht="15" customHeight="1" x14ac:dyDescent="0.25">
      <c r="A188" s="49" t="str">
        <f>IF(83&lt;=Inputs!$B$3,83,"")</f>
        <v/>
      </c>
      <c r="B188" s="49" t="str">
        <f t="shared" si="8"/>
        <v/>
      </c>
      <c r="C188" s="49" t="str">
        <f>IF($A188="","",Inputs!$B$4*12*(1+Inputs!$B$10/100)^($A188-1))</f>
        <v/>
      </c>
      <c r="D188" s="49" t="str">
        <f>IF($A188="","",B188*((Inputs!$B$5-2)/100))</f>
        <v/>
      </c>
      <c r="E188" s="49" t="str">
        <f>IF($A188="","",IFERROR(IF(OR(Inputs!$B$8&lt;=0,Inputs!$B$8=""),0,IF(AND($A188&gt;=Inputs!$B$8,MOD($A188,Inputs!$B$8)=0),Inputs!$B$7*(1+Inputs!$B$6/100)^$A188,0)),0))</f>
        <v/>
      </c>
      <c r="F188" s="49" t="str">
        <f t="shared" si="6"/>
        <v/>
      </c>
      <c r="G188" s="49">
        <f t="shared" si="7"/>
        <v>0</v>
      </c>
    </row>
    <row r="189" spans="1:7" ht="15" customHeight="1" x14ac:dyDescent="0.25">
      <c r="A189" s="49" t="str">
        <f>IF(84&lt;=Inputs!$B$3,84,"")</f>
        <v/>
      </c>
      <c r="B189" s="49" t="str">
        <f t="shared" si="8"/>
        <v/>
      </c>
      <c r="C189" s="49" t="str">
        <f>IF($A189="","",Inputs!$B$4*12*(1+Inputs!$B$10/100)^($A189-1))</f>
        <v/>
      </c>
      <c r="D189" s="49" t="str">
        <f>IF($A189="","",B189*((Inputs!$B$5-2)/100))</f>
        <v/>
      </c>
      <c r="E189" s="49" t="str">
        <f>IF($A189="","",IFERROR(IF(OR(Inputs!$B$8&lt;=0,Inputs!$B$8=""),0,IF(AND($A189&gt;=Inputs!$B$8,MOD($A189,Inputs!$B$8)=0),Inputs!$B$7*(1+Inputs!$B$6/100)^$A189,0)),0))</f>
        <v/>
      </c>
      <c r="F189" s="49" t="str">
        <f t="shared" si="6"/>
        <v/>
      </c>
      <c r="G189" s="49">
        <f t="shared" si="7"/>
        <v>0</v>
      </c>
    </row>
    <row r="190" spans="1:7" ht="15" customHeight="1" x14ac:dyDescent="0.25">
      <c r="A190" s="49" t="str">
        <f>IF(85&lt;=Inputs!$B$3,85,"")</f>
        <v/>
      </c>
      <c r="B190" s="49" t="str">
        <f t="shared" si="8"/>
        <v/>
      </c>
      <c r="C190" s="49" t="str">
        <f>IF($A190="","",Inputs!$B$4*12*(1+Inputs!$B$10/100)^($A190-1))</f>
        <v/>
      </c>
      <c r="D190" s="49" t="str">
        <f>IF($A190="","",B190*((Inputs!$B$5-2)/100))</f>
        <v/>
      </c>
      <c r="E190" s="49" t="str">
        <f>IF($A190="","",IFERROR(IF(OR(Inputs!$B$8&lt;=0,Inputs!$B$8=""),0,IF(AND($A190&gt;=Inputs!$B$8,MOD($A190,Inputs!$B$8)=0),Inputs!$B$7*(1+Inputs!$B$6/100)^$A190,0)),0))</f>
        <v/>
      </c>
      <c r="F190" s="49" t="str">
        <f t="shared" si="6"/>
        <v/>
      </c>
      <c r="G190" s="49">
        <f t="shared" si="7"/>
        <v>0</v>
      </c>
    </row>
    <row r="191" spans="1:7" ht="15" customHeight="1" x14ac:dyDescent="0.25">
      <c r="A191" s="49" t="str">
        <f>IF(86&lt;=Inputs!$B$3,86,"")</f>
        <v/>
      </c>
      <c r="B191" s="49" t="str">
        <f t="shared" si="8"/>
        <v/>
      </c>
      <c r="C191" s="49" t="str">
        <f>IF($A191="","",Inputs!$B$4*12*(1+Inputs!$B$10/100)^($A191-1))</f>
        <v/>
      </c>
      <c r="D191" s="49" t="str">
        <f>IF($A191="","",B191*((Inputs!$B$5-2)/100))</f>
        <v/>
      </c>
      <c r="E191" s="49" t="str">
        <f>IF($A191="","",IFERROR(IF(OR(Inputs!$B$8&lt;=0,Inputs!$B$8=""),0,IF(AND($A191&gt;=Inputs!$B$8,MOD($A191,Inputs!$B$8)=0),Inputs!$B$7*(1+Inputs!$B$6/100)^$A191,0)),0))</f>
        <v/>
      </c>
      <c r="F191" s="49" t="str">
        <f t="shared" si="6"/>
        <v/>
      </c>
      <c r="G191" s="49">
        <f t="shared" si="7"/>
        <v>0</v>
      </c>
    </row>
    <row r="192" spans="1:7" ht="15" customHeight="1" x14ac:dyDescent="0.25">
      <c r="A192" s="49" t="str">
        <f>IF(87&lt;=Inputs!$B$3,87,"")</f>
        <v/>
      </c>
      <c r="B192" s="49" t="str">
        <f t="shared" si="8"/>
        <v/>
      </c>
      <c r="C192" s="49" t="str">
        <f>IF($A192="","",Inputs!$B$4*12*(1+Inputs!$B$10/100)^($A192-1))</f>
        <v/>
      </c>
      <c r="D192" s="49" t="str">
        <f>IF($A192="","",B192*((Inputs!$B$5-2)/100))</f>
        <v/>
      </c>
      <c r="E192" s="49" t="str">
        <f>IF($A192="","",IFERROR(IF(OR(Inputs!$B$8&lt;=0,Inputs!$B$8=""),0,IF(AND($A192&gt;=Inputs!$B$8,MOD($A192,Inputs!$B$8)=0),Inputs!$B$7*(1+Inputs!$B$6/100)^$A192,0)),0))</f>
        <v/>
      </c>
      <c r="F192" s="49" t="str">
        <f t="shared" si="6"/>
        <v/>
      </c>
      <c r="G192" s="49">
        <f t="shared" si="7"/>
        <v>0</v>
      </c>
    </row>
    <row r="193" spans="1:7" ht="15" customHeight="1" x14ac:dyDescent="0.25">
      <c r="A193" s="49" t="str">
        <f>IF(88&lt;=Inputs!$B$3,88,"")</f>
        <v/>
      </c>
      <c r="B193" s="49" t="str">
        <f t="shared" si="8"/>
        <v/>
      </c>
      <c r="C193" s="49" t="str">
        <f>IF($A193="","",Inputs!$B$4*12*(1+Inputs!$B$10/100)^($A193-1))</f>
        <v/>
      </c>
      <c r="D193" s="49" t="str">
        <f>IF($A193="","",B193*((Inputs!$B$5-2)/100))</f>
        <v/>
      </c>
      <c r="E193" s="49" t="str">
        <f>IF($A193="","",IFERROR(IF(OR(Inputs!$B$8&lt;=0,Inputs!$B$8=""),0,IF(AND($A193&gt;=Inputs!$B$8,MOD($A193,Inputs!$B$8)=0),Inputs!$B$7*(1+Inputs!$B$6/100)^$A193,0)),0))</f>
        <v/>
      </c>
      <c r="F193" s="49" t="str">
        <f t="shared" si="6"/>
        <v/>
      </c>
      <c r="G193" s="49">
        <f t="shared" si="7"/>
        <v>0</v>
      </c>
    </row>
    <row r="194" spans="1:7" ht="15" customHeight="1" x14ac:dyDescent="0.25">
      <c r="A194" s="49" t="str">
        <f>IF(89&lt;=Inputs!$B$3,89,"")</f>
        <v/>
      </c>
      <c r="B194" s="49" t="str">
        <f t="shared" si="8"/>
        <v/>
      </c>
      <c r="C194" s="49" t="str">
        <f>IF($A194="","",Inputs!$B$4*12*(1+Inputs!$B$10/100)^($A194-1))</f>
        <v/>
      </c>
      <c r="D194" s="49" t="str">
        <f>IF($A194="","",B194*((Inputs!$B$5-2)/100))</f>
        <v/>
      </c>
      <c r="E194" s="49" t="str">
        <f>IF($A194="","",IFERROR(IF(OR(Inputs!$B$8&lt;=0,Inputs!$B$8=""),0,IF(AND($A194&gt;=Inputs!$B$8,MOD($A194,Inputs!$B$8)=0),Inputs!$B$7*(1+Inputs!$B$6/100)^$A194,0)),0))</f>
        <v/>
      </c>
      <c r="F194" s="49" t="str">
        <f t="shared" si="6"/>
        <v/>
      </c>
      <c r="G194" s="49">
        <f t="shared" si="7"/>
        <v>0</v>
      </c>
    </row>
    <row r="195" spans="1:7" ht="15" customHeight="1" x14ac:dyDescent="0.25">
      <c r="A195" s="49" t="str">
        <f>IF(90&lt;=Inputs!$B$3,90,"")</f>
        <v/>
      </c>
      <c r="B195" s="49" t="str">
        <f t="shared" si="8"/>
        <v/>
      </c>
      <c r="C195" s="49" t="str">
        <f>IF($A195="","",Inputs!$B$4*12*(1+Inputs!$B$10/100)^($A195-1))</f>
        <v/>
      </c>
      <c r="D195" s="49" t="str">
        <f>IF($A195="","",B195*((Inputs!$B$5-2)/100))</f>
        <v/>
      </c>
      <c r="E195" s="49" t="str">
        <f>IF($A195="","",IFERROR(IF(OR(Inputs!$B$8&lt;=0,Inputs!$B$8=""),0,IF(AND($A195&gt;=Inputs!$B$8,MOD($A195,Inputs!$B$8)=0),Inputs!$B$7*(1+Inputs!$B$6/100)^$A195,0)),0))</f>
        <v/>
      </c>
      <c r="F195" s="49" t="str">
        <f t="shared" si="6"/>
        <v/>
      </c>
      <c r="G195" s="49">
        <f t="shared" si="7"/>
        <v>0</v>
      </c>
    </row>
    <row r="196" spans="1:7" ht="15" customHeight="1" x14ac:dyDescent="0.25">
      <c r="A196" s="49" t="str">
        <f>IF(91&lt;=Inputs!$B$3,91,"")</f>
        <v/>
      </c>
      <c r="B196" s="49" t="str">
        <f t="shared" si="8"/>
        <v/>
      </c>
      <c r="C196" s="49" t="str">
        <f>IF($A196="","",Inputs!$B$4*12*(1+Inputs!$B$10/100)^($A196-1))</f>
        <v/>
      </c>
      <c r="D196" s="49" t="str">
        <f>IF($A196="","",B196*((Inputs!$B$5-2)/100))</f>
        <v/>
      </c>
      <c r="E196" s="49" t="str">
        <f>IF($A196="","",IFERROR(IF(OR(Inputs!$B$8&lt;=0,Inputs!$B$8=""),0,IF(AND($A196&gt;=Inputs!$B$8,MOD($A196,Inputs!$B$8)=0),Inputs!$B$7*(1+Inputs!$B$6/100)^$A196,0)),0))</f>
        <v/>
      </c>
      <c r="F196" s="49" t="str">
        <f t="shared" si="6"/>
        <v/>
      </c>
      <c r="G196" s="49">
        <f t="shared" si="7"/>
        <v>0</v>
      </c>
    </row>
    <row r="197" spans="1:7" ht="15" customHeight="1" x14ac:dyDescent="0.25">
      <c r="A197" s="49" t="str">
        <f>IF(92&lt;=Inputs!$B$3,92,"")</f>
        <v/>
      </c>
      <c r="B197" s="49" t="str">
        <f t="shared" si="8"/>
        <v/>
      </c>
      <c r="C197" s="49" t="str">
        <f>IF($A197="","",Inputs!$B$4*12*(1+Inputs!$B$10/100)^($A197-1))</f>
        <v/>
      </c>
      <c r="D197" s="49" t="str">
        <f>IF($A197="","",B197*((Inputs!$B$5-2)/100))</f>
        <v/>
      </c>
      <c r="E197" s="49" t="str">
        <f>IF($A197="","",IFERROR(IF(OR(Inputs!$B$8&lt;=0,Inputs!$B$8=""),0,IF(AND($A197&gt;=Inputs!$B$8,MOD($A197,Inputs!$B$8)=0),Inputs!$B$7*(1+Inputs!$B$6/100)^$A197,0)),0))</f>
        <v/>
      </c>
      <c r="F197" s="49" t="str">
        <f t="shared" si="6"/>
        <v/>
      </c>
      <c r="G197" s="49">
        <f t="shared" si="7"/>
        <v>0</v>
      </c>
    </row>
    <row r="198" spans="1:7" ht="15" customHeight="1" x14ac:dyDescent="0.25">
      <c r="A198" s="49" t="str">
        <f>IF(93&lt;=Inputs!$B$3,93,"")</f>
        <v/>
      </c>
      <c r="B198" s="49" t="str">
        <f t="shared" si="8"/>
        <v/>
      </c>
      <c r="C198" s="49" t="str">
        <f>IF($A198="","",Inputs!$B$4*12*(1+Inputs!$B$10/100)^($A198-1))</f>
        <v/>
      </c>
      <c r="D198" s="49" t="str">
        <f>IF($A198="","",B198*((Inputs!$B$5-2)/100))</f>
        <v/>
      </c>
      <c r="E198" s="49" t="str">
        <f>IF($A198="","",IFERROR(IF(OR(Inputs!$B$8&lt;=0,Inputs!$B$8=""),0,IF(AND($A198&gt;=Inputs!$B$8,MOD($A198,Inputs!$B$8)=0),Inputs!$B$7*(1+Inputs!$B$6/100)^$A198,0)),0))</f>
        <v/>
      </c>
      <c r="F198" s="49" t="str">
        <f t="shared" si="6"/>
        <v/>
      </c>
      <c r="G198" s="49">
        <f t="shared" si="7"/>
        <v>0</v>
      </c>
    </row>
    <row r="199" spans="1:7" ht="15" customHeight="1" x14ac:dyDescent="0.25">
      <c r="A199" s="49" t="str">
        <f>IF(94&lt;=Inputs!$B$3,94,"")</f>
        <v/>
      </c>
      <c r="B199" s="49" t="str">
        <f t="shared" si="8"/>
        <v/>
      </c>
      <c r="C199" s="49" t="str">
        <f>IF($A199="","",Inputs!$B$4*12*(1+Inputs!$B$10/100)^($A199-1))</f>
        <v/>
      </c>
      <c r="D199" s="49" t="str">
        <f>IF($A199="","",B199*((Inputs!$B$5-2)/100))</f>
        <v/>
      </c>
      <c r="E199" s="49" t="str">
        <f>IF($A199="","",IFERROR(IF(OR(Inputs!$B$8&lt;=0,Inputs!$B$8=""),0,IF(AND($A199&gt;=Inputs!$B$8,MOD($A199,Inputs!$B$8)=0),Inputs!$B$7*(1+Inputs!$B$6/100)^$A199,0)),0))</f>
        <v/>
      </c>
      <c r="F199" s="49" t="str">
        <f t="shared" si="6"/>
        <v/>
      </c>
      <c r="G199" s="49">
        <f t="shared" si="7"/>
        <v>0</v>
      </c>
    </row>
    <row r="200" spans="1:7" ht="15" customHeight="1" x14ac:dyDescent="0.25">
      <c r="A200" s="49" t="str">
        <f>IF(95&lt;=Inputs!$B$3,95,"")</f>
        <v/>
      </c>
      <c r="B200" s="49" t="str">
        <f t="shared" si="8"/>
        <v/>
      </c>
      <c r="C200" s="49" t="str">
        <f>IF($A200="","",Inputs!$B$4*12*(1+Inputs!$B$10/100)^($A200-1))</f>
        <v/>
      </c>
      <c r="D200" s="49" t="str">
        <f>IF($A200="","",B200*((Inputs!$B$5-2)/100))</f>
        <v/>
      </c>
      <c r="E200" s="49" t="str">
        <f>IF($A200="","",IFERROR(IF(OR(Inputs!$B$8&lt;=0,Inputs!$B$8=""),0,IF(AND($A200&gt;=Inputs!$B$8,MOD($A200,Inputs!$B$8)=0),Inputs!$B$7*(1+Inputs!$B$6/100)^$A200,0)),0))</f>
        <v/>
      </c>
      <c r="F200" s="49" t="str">
        <f t="shared" si="6"/>
        <v/>
      </c>
      <c r="G200" s="49">
        <f t="shared" si="7"/>
        <v>0</v>
      </c>
    </row>
    <row r="201" spans="1:7" ht="15" customHeight="1" x14ac:dyDescent="0.25">
      <c r="A201" s="49" t="str">
        <f>IF(96&lt;=Inputs!$B$3,96,"")</f>
        <v/>
      </c>
      <c r="B201" s="49" t="str">
        <f t="shared" si="8"/>
        <v/>
      </c>
      <c r="C201" s="49" t="str">
        <f>IF($A201="","",Inputs!$B$4*12*(1+Inputs!$B$10/100)^($A201-1))</f>
        <v/>
      </c>
      <c r="D201" s="49" t="str">
        <f>IF($A201="","",B201*((Inputs!$B$5-2)/100))</f>
        <v/>
      </c>
      <c r="E201" s="49" t="str">
        <f>IF($A201="","",IFERROR(IF(OR(Inputs!$B$8&lt;=0,Inputs!$B$8=""),0,IF(AND($A201&gt;=Inputs!$B$8,MOD($A201,Inputs!$B$8)=0),Inputs!$B$7*(1+Inputs!$B$6/100)^$A201,0)),0))</f>
        <v/>
      </c>
      <c r="F201" s="49" t="str">
        <f t="shared" si="6"/>
        <v/>
      </c>
      <c r="G201" s="49">
        <f t="shared" si="7"/>
        <v>0</v>
      </c>
    </row>
    <row r="202" spans="1:7" ht="15" customHeight="1" x14ac:dyDescent="0.25">
      <c r="A202" s="49" t="str">
        <f>IF(97&lt;=Inputs!$B$3,97,"")</f>
        <v/>
      </c>
      <c r="B202" s="49" t="str">
        <f t="shared" si="8"/>
        <v/>
      </c>
      <c r="C202" s="49" t="str">
        <f>IF($A202="","",Inputs!$B$4*12*(1+Inputs!$B$10/100)^($A202-1))</f>
        <v/>
      </c>
      <c r="D202" s="49" t="str">
        <f>IF($A202="","",B202*((Inputs!$B$5-2)/100))</f>
        <v/>
      </c>
      <c r="E202" s="49" t="str">
        <f>IF($A202="","",IFERROR(IF(OR(Inputs!$B$8&lt;=0,Inputs!$B$8=""),0,IF(AND($A202&gt;=Inputs!$B$8,MOD($A202,Inputs!$B$8)=0),Inputs!$B$7*(1+Inputs!$B$6/100)^$A202,0)),0))</f>
        <v/>
      </c>
      <c r="F202" s="49" t="str">
        <f t="shared" ref="F202:F205" si="9">IF($A202="","",B202+C202+D202-E202)</f>
        <v/>
      </c>
      <c r="G202" s="49">
        <f t="shared" si="7"/>
        <v>0</v>
      </c>
    </row>
    <row r="203" spans="1:7" ht="15" customHeight="1" x14ac:dyDescent="0.25">
      <c r="A203" s="49" t="str">
        <f>IF(98&lt;=Inputs!$B$3,98,"")</f>
        <v/>
      </c>
      <c r="B203" s="49" t="str">
        <f t="shared" si="8"/>
        <v/>
      </c>
      <c r="C203" s="49" t="str">
        <f>IF($A203="","",Inputs!$B$4*12*(1+Inputs!$B$10/100)^($A203-1))</f>
        <v/>
      </c>
      <c r="D203" s="49" t="str">
        <f>IF($A203="","",B203*((Inputs!$B$5-2)/100))</f>
        <v/>
      </c>
      <c r="E203" s="49" t="str">
        <f>IF($A203="","",IFERROR(IF(OR(Inputs!$B$8&lt;=0,Inputs!$B$8=""),0,IF(AND($A203&gt;=Inputs!$B$8,MOD($A203,Inputs!$B$8)=0),Inputs!$B$7*(1+Inputs!$B$6/100)^$A203,0)),0))</f>
        <v/>
      </c>
      <c r="F203" s="49" t="str">
        <f t="shared" si="9"/>
        <v/>
      </c>
      <c r="G203" s="49">
        <f t="shared" si="7"/>
        <v>0</v>
      </c>
    </row>
    <row r="204" spans="1:7" ht="15" customHeight="1" x14ac:dyDescent="0.25">
      <c r="A204" s="49" t="str">
        <f>IF(99&lt;=Inputs!$B$3,99,"")</f>
        <v/>
      </c>
      <c r="B204" s="49" t="str">
        <f t="shared" si="8"/>
        <v/>
      </c>
      <c r="C204" s="49" t="str">
        <f>IF($A204="","",Inputs!$B$4*12*(1+Inputs!$B$10/100)^($A204-1))</f>
        <v/>
      </c>
      <c r="D204" s="49" t="str">
        <f>IF($A204="","",B204*((Inputs!$B$5-2)/100))</f>
        <v/>
      </c>
      <c r="E204" s="49" t="str">
        <f>IF($A204="","",IFERROR(IF(OR(Inputs!$B$8&lt;=0,Inputs!$B$8=""),0,IF(AND($A204&gt;=Inputs!$B$8,MOD($A204,Inputs!$B$8)=0),Inputs!$B$7*(1+Inputs!$B$6/100)^$A204,0)),0))</f>
        <v/>
      </c>
      <c r="F204" s="49" t="str">
        <f t="shared" si="9"/>
        <v/>
      </c>
      <c r="G204" s="49">
        <f t="shared" si="7"/>
        <v>0</v>
      </c>
    </row>
    <row r="205" spans="1:7" ht="15" customHeight="1" x14ac:dyDescent="0.25">
      <c r="A205" s="49" t="str">
        <f>IF(100&lt;=Inputs!$B$3,100,"")</f>
        <v/>
      </c>
      <c r="B205" s="49" t="str">
        <f t="shared" si="8"/>
        <v/>
      </c>
      <c r="C205" s="49" t="str">
        <f>IF($A205="","",Inputs!$B$4*12*(1+Inputs!$B$10/100)^($A205-1))</f>
        <v/>
      </c>
      <c r="D205" s="49" t="str">
        <f>IF($A205="","",B205*((Inputs!$B$5-2)/100))</f>
        <v/>
      </c>
      <c r="E205" s="49" t="str">
        <f>IF($A205="","",IFERROR(IF(OR(Inputs!$B$8&lt;=0,Inputs!$B$8=""),0,IF(AND($A205&gt;=Inputs!$B$8,MOD($A205,Inputs!$B$8)=0),Inputs!$B$7*(1+Inputs!$B$6/100)^$A205,0)),0))</f>
        <v/>
      </c>
      <c r="F205" s="49" t="str">
        <f t="shared" si="9"/>
        <v/>
      </c>
      <c r="G205" s="49">
        <f t="shared" si="7"/>
        <v>0</v>
      </c>
    </row>
    <row r="206" spans="1:7" ht="15" customHeight="1" x14ac:dyDescent="0.25">
      <c r="A206" s="49" t="s">
        <v>130</v>
      </c>
      <c r="B206" s="49" t="s">
        <v>131</v>
      </c>
      <c r="C206" s="49" t="s">
        <v>132</v>
      </c>
      <c r="D206" s="49" t="s">
        <v>133</v>
      </c>
      <c r="E206" s="49" t="s">
        <v>134</v>
      </c>
      <c r="F206" s="49" t="s">
        <v>135</v>
      </c>
      <c r="G206" s="49" t="s">
        <v>136</v>
      </c>
    </row>
    <row r="207" spans="1:7" ht="15" customHeight="1" x14ac:dyDescent="0.25">
      <c r="A207" s="49">
        <f>IF(1&lt;=Inputs!$B$3,1,"")</f>
        <v>1</v>
      </c>
      <c r="B207" s="89">
        <f>IF($A207="","",Inputs!$B$9)</f>
        <v>0</v>
      </c>
      <c r="C207" s="49">
        <f>IF($A207="","",Inputs!$B$4*12*(1+Inputs!$B$10/100)^($A207-1))</f>
        <v>4800</v>
      </c>
      <c r="D207" s="49">
        <f>IF($A207="","",B207*(Inputs!$B$5/100))</f>
        <v>0</v>
      </c>
      <c r="E207" s="49">
        <f>IF($A207="","",IFERROR(IF(OR(Inputs!$B$8&lt;=0,Inputs!$B$8=""),0,IF(AND($A207&gt;=Inputs!$B$8,MOD($A207,Inputs!$B$8)=0),Inputs!$B$7*(1+Inputs!$B$6/100)^$A207,0)),0))</f>
        <v>0</v>
      </c>
      <c r="F207" s="49">
        <f t="shared" ref="F207:F238" si="10">IF($A207="","",B207+C207+D207-E207)</f>
        <v>4800</v>
      </c>
      <c r="G207" s="49">
        <f t="shared" ref="G207:G238" si="11">IF($A207="",0,IF(D207&gt;C207,1,0))</f>
        <v>0</v>
      </c>
    </row>
    <row r="208" spans="1:7" ht="15" customHeight="1" x14ac:dyDescent="0.25">
      <c r="A208" s="49">
        <f>IF(2&lt;=Inputs!$B$3,2,"")</f>
        <v>2</v>
      </c>
      <c r="B208" s="49">
        <f t="shared" ref="B208:B239" si="12">IF($A208="","",F207)</f>
        <v>4800</v>
      </c>
      <c r="C208" s="49">
        <f>IF($A208="","",Inputs!$B$4*12*(1+Inputs!$B$10/100)^($A208-1))</f>
        <v>4800</v>
      </c>
      <c r="D208" s="49">
        <f>IF($A208="","",B208*(Inputs!$B$5/100))</f>
        <v>336.00000000000006</v>
      </c>
      <c r="E208" s="49">
        <f>IF($A208="","",IFERROR(IF(OR(Inputs!$B$8&lt;=0,Inputs!$B$8=""),0,IF(AND($A208&gt;=Inputs!$B$8,MOD($A208,Inputs!$B$8)=0),Inputs!$B$7*(1+Inputs!$B$6/100)^$A208,0)),0))</f>
        <v>0</v>
      </c>
      <c r="F208" s="49">
        <f t="shared" si="10"/>
        <v>9936</v>
      </c>
      <c r="G208" s="49">
        <f t="shared" si="11"/>
        <v>0</v>
      </c>
    </row>
    <row r="209" spans="1:7" ht="15" customHeight="1" x14ac:dyDescent="0.25">
      <c r="A209" s="49">
        <f>IF(3&lt;=Inputs!$B$3,3,"")</f>
        <v>3</v>
      </c>
      <c r="B209" s="49">
        <f t="shared" si="12"/>
        <v>9936</v>
      </c>
      <c r="C209" s="49">
        <f>IF($A209="","",Inputs!$B$4*12*(1+Inputs!$B$10/100)^($A209-1))</f>
        <v>4800</v>
      </c>
      <c r="D209" s="49">
        <f>IF($A209="","",B209*(Inputs!$B$5/100))</f>
        <v>695.5200000000001</v>
      </c>
      <c r="E209" s="49">
        <f>IF($A209="","",IFERROR(IF(OR(Inputs!$B$8&lt;=0,Inputs!$B$8=""),0,IF(AND($A209&gt;=Inputs!$B$8,MOD($A209,Inputs!$B$8)=0),Inputs!$B$7*(1+Inputs!$B$6/100)^$A209,0)),0))</f>
        <v>0</v>
      </c>
      <c r="F209" s="49">
        <f t="shared" si="10"/>
        <v>15431.52</v>
      </c>
      <c r="G209" s="49">
        <f t="shared" si="11"/>
        <v>0</v>
      </c>
    </row>
    <row r="210" spans="1:7" ht="15" customHeight="1" x14ac:dyDescent="0.25">
      <c r="A210" s="49">
        <f>IF(4&lt;=Inputs!$B$3,4,"")</f>
        <v>4</v>
      </c>
      <c r="B210" s="49">
        <f t="shared" si="12"/>
        <v>15431.52</v>
      </c>
      <c r="C210" s="49">
        <f>IF($A210="","",Inputs!$B$4*12*(1+Inputs!$B$10/100)^($A210-1))</f>
        <v>4800</v>
      </c>
      <c r="D210" s="49">
        <f>IF($A210="","",B210*(Inputs!$B$5/100))</f>
        <v>1080.2064</v>
      </c>
      <c r="E210" s="49">
        <f>IF($A210="","",IFERROR(IF(OR(Inputs!$B$8&lt;=0,Inputs!$B$8=""),0,IF(AND($A210&gt;=Inputs!$B$8,MOD($A210,Inputs!$B$8)=0),Inputs!$B$7*(1+Inputs!$B$6/100)^$A210,0)),0))</f>
        <v>0</v>
      </c>
      <c r="F210" s="49">
        <f t="shared" si="10"/>
        <v>21311.7264</v>
      </c>
      <c r="G210" s="49">
        <f t="shared" si="11"/>
        <v>0</v>
      </c>
    </row>
    <row r="211" spans="1:7" ht="15" customHeight="1" x14ac:dyDescent="0.25">
      <c r="A211" s="49">
        <f>IF(5&lt;=Inputs!$B$3,5,"")</f>
        <v>5</v>
      </c>
      <c r="B211" s="49">
        <f t="shared" si="12"/>
        <v>21311.7264</v>
      </c>
      <c r="C211" s="49">
        <f>IF($A211="","",Inputs!$B$4*12*(1+Inputs!$B$10/100)^($A211-1))</f>
        <v>4800</v>
      </c>
      <c r="D211" s="49">
        <f>IF($A211="","",B211*(Inputs!$B$5/100))</f>
        <v>1491.8208480000001</v>
      </c>
      <c r="E211" s="49">
        <f>IF($A211="","",IFERROR(IF(OR(Inputs!$B$8&lt;=0,Inputs!$B$8=""),0,IF(AND($A211&gt;=Inputs!$B$8,MOD($A211,Inputs!$B$8)=0),Inputs!$B$7*(1+Inputs!$B$6/100)^$A211,0)),0))</f>
        <v>0</v>
      </c>
      <c r="F211" s="49">
        <f t="shared" si="10"/>
        <v>27603.547247999999</v>
      </c>
      <c r="G211" s="49">
        <f t="shared" si="11"/>
        <v>0</v>
      </c>
    </row>
    <row r="212" spans="1:7" ht="15" customHeight="1" x14ac:dyDescent="0.25">
      <c r="A212" s="49">
        <f>IF(6&lt;=Inputs!$B$3,6,"")</f>
        <v>6</v>
      </c>
      <c r="B212" s="49">
        <f t="shared" si="12"/>
        <v>27603.547247999999</v>
      </c>
      <c r="C212" s="49">
        <f>IF($A212="","",Inputs!$B$4*12*(1+Inputs!$B$10/100)^($A212-1))</f>
        <v>4800</v>
      </c>
      <c r="D212" s="49">
        <f>IF($A212="","",B212*(Inputs!$B$5/100))</f>
        <v>1932.2483073600001</v>
      </c>
      <c r="E212" s="49">
        <f>IF($A212="","",IFERROR(IF(OR(Inputs!$B$8&lt;=0,Inputs!$B$8=""),0,IF(AND($A212&gt;=Inputs!$B$8,MOD($A212,Inputs!$B$8)=0),Inputs!$B$7*(1+Inputs!$B$6/100)^$A212,0)),0))</f>
        <v>0</v>
      </c>
      <c r="F212" s="49">
        <f t="shared" si="10"/>
        <v>34335.795555359997</v>
      </c>
      <c r="G212" s="49">
        <f t="shared" si="11"/>
        <v>0</v>
      </c>
    </row>
    <row r="213" spans="1:7" ht="15" customHeight="1" x14ac:dyDescent="0.25">
      <c r="A213" s="49">
        <f>IF(7&lt;=Inputs!$B$3,7,"")</f>
        <v>7</v>
      </c>
      <c r="B213" s="49">
        <f t="shared" si="12"/>
        <v>34335.795555359997</v>
      </c>
      <c r="C213" s="49">
        <f>IF($A213="","",Inputs!$B$4*12*(1+Inputs!$B$10/100)^($A213-1))</f>
        <v>4800</v>
      </c>
      <c r="D213" s="49">
        <f>IF($A213="","",B213*(Inputs!$B$5/100))</f>
        <v>2403.5056888752001</v>
      </c>
      <c r="E213" s="49">
        <f>IF($A213="","",IFERROR(IF(OR(Inputs!$B$8&lt;=0,Inputs!$B$8=""),0,IF(AND($A213&gt;=Inputs!$B$8,MOD($A213,Inputs!$B$8)=0),Inputs!$B$7*(1+Inputs!$B$6/100)^$A213,0)),0))</f>
        <v>24597.4773084974</v>
      </c>
      <c r="F213" s="49">
        <f t="shared" si="10"/>
        <v>16941.823935737797</v>
      </c>
      <c r="G213" s="49">
        <f t="shared" si="11"/>
        <v>0</v>
      </c>
    </row>
    <row r="214" spans="1:7" ht="15" customHeight="1" x14ac:dyDescent="0.25">
      <c r="A214" s="49">
        <f>IF(8&lt;=Inputs!$B$3,8,"")</f>
        <v>8</v>
      </c>
      <c r="B214" s="49">
        <f t="shared" si="12"/>
        <v>16941.823935737797</v>
      </c>
      <c r="C214" s="49">
        <f>IF($A214="","",Inputs!$B$4*12*(1+Inputs!$B$10/100)^($A214-1))</f>
        <v>4800</v>
      </c>
      <c r="D214" s="49">
        <f>IF($A214="","",B214*(Inputs!$B$5/100))</f>
        <v>1185.9276755016458</v>
      </c>
      <c r="E214" s="49">
        <f>IF($A214="","",IFERROR(IF(OR(Inputs!$B$8&lt;=0,Inputs!$B$8=""),0,IF(AND($A214&gt;=Inputs!$B$8,MOD($A214,Inputs!$B$8)=0),Inputs!$B$7*(1+Inputs!$B$6/100)^$A214,0)),0))</f>
        <v>0</v>
      </c>
      <c r="F214" s="49">
        <f t="shared" si="10"/>
        <v>22927.751611239444</v>
      </c>
      <c r="G214" s="49">
        <f t="shared" si="11"/>
        <v>0</v>
      </c>
    </row>
    <row r="215" spans="1:7" ht="15" customHeight="1" x14ac:dyDescent="0.25">
      <c r="A215" s="49">
        <f>IF(9&lt;=Inputs!$B$3,9,"")</f>
        <v>9</v>
      </c>
      <c r="B215" s="49">
        <f t="shared" si="12"/>
        <v>22927.751611239444</v>
      </c>
      <c r="C215" s="49">
        <f>IF($A215="","",Inputs!$B$4*12*(1+Inputs!$B$10/100)^($A215-1))</f>
        <v>4800</v>
      </c>
      <c r="D215" s="49">
        <f>IF($A215="","",B215*(Inputs!$B$5/100))</f>
        <v>1604.9426127867612</v>
      </c>
      <c r="E215" s="49">
        <f>IF($A215="","",IFERROR(IF(OR(Inputs!$B$8&lt;=0,Inputs!$B$8=""),0,IF(AND($A215&gt;=Inputs!$B$8,MOD($A215,Inputs!$B$8)=0),Inputs!$B$7*(1+Inputs!$B$6/100)^$A215,0)),0))</f>
        <v>0</v>
      </c>
      <c r="F215" s="49">
        <f t="shared" si="10"/>
        <v>29332.694224026207</v>
      </c>
      <c r="G215" s="49">
        <f t="shared" si="11"/>
        <v>0</v>
      </c>
    </row>
    <row r="216" spans="1:7" ht="15" customHeight="1" x14ac:dyDescent="0.25">
      <c r="A216" s="49">
        <f>IF(10&lt;=Inputs!$B$3,10,"")</f>
        <v>10</v>
      </c>
      <c r="B216" s="49">
        <f t="shared" si="12"/>
        <v>29332.694224026207</v>
      </c>
      <c r="C216" s="49">
        <f>IF($A216="","",Inputs!$B$4*12*(1+Inputs!$B$10/100)^($A216-1))</f>
        <v>4800</v>
      </c>
      <c r="D216" s="49">
        <f>IF($A216="","",B216*(Inputs!$B$5/100))</f>
        <v>2053.2885956818345</v>
      </c>
      <c r="E216" s="49">
        <f>IF($A216="","",IFERROR(IF(OR(Inputs!$B$8&lt;=0,Inputs!$B$8=""),0,IF(AND($A216&gt;=Inputs!$B$8,MOD($A216,Inputs!$B$8)=0),Inputs!$B$7*(1+Inputs!$B$6/100)^$A216,0)),0))</f>
        <v>0</v>
      </c>
      <c r="F216" s="49">
        <f t="shared" si="10"/>
        <v>36185.982819708042</v>
      </c>
      <c r="G216" s="49">
        <f t="shared" si="11"/>
        <v>0</v>
      </c>
    </row>
    <row r="217" spans="1:7" ht="15" customHeight="1" x14ac:dyDescent="0.25">
      <c r="A217" s="49">
        <f>IF(11&lt;=Inputs!$B$3,11,"")</f>
        <v>11</v>
      </c>
      <c r="B217" s="49">
        <f t="shared" si="12"/>
        <v>36185.982819708042</v>
      </c>
      <c r="C217" s="49">
        <f>IF($A217="","",Inputs!$B$4*12*(1+Inputs!$B$10/100)^($A217-1))</f>
        <v>4800</v>
      </c>
      <c r="D217" s="49">
        <f>IF($A217="","",B217*(Inputs!$B$5/100))</f>
        <v>2533.0187973795632</v>
      </c>
      <c r="E217" s="49">
        <f>IF($A217="","",IFERROR(IF(OR(Inputs!$B$8&lt;=0,Inputs!$B$8=""),0,IF(AND($A217&gt;=Inputs!$B$8,MOD($A217,Inputs!$B$8)=0),Inputs!$B$7*(1+Inputs!$B$6/100)^$A217,0)),0))</f>
        <v>0</v>
      </c>
      <c r="F217" s="49">
        <f t="shared" si="10"/>
        <v>43519.001617087604</v>
      </c>
      <c r="G217" s="49">
        <f t="shared" si="11"/>
        <v>0</v>
      </c>
    </row>
    <row r="218" spans="1:7" ht="15" customHeight="1" x14ac:dyDescent="0.25">
      <c r="A218" s="49">
        <f>IF(12&lt;=Inputs!$B$3,12,"")</f>
        <v>12</v>
      </c>
      <c r="B218" s="49">
        <f t="shared" si="12"/>
        <v>43519.001617087604</v>
      </c>
      <c r="C218" s="49">
        <f>IF($A218="","",Inputs!$B$4*12*(1+Inputs!$B$10/100)^($A218-1))</f>
        <v>4800</v>
      </c>
      <c r="D218" s="49">
        <f>IF($A218="","",B218*(Inputs!$B$5/100))</f>
        <v>3046.3301131961325</v>
      </c>
      <c r="E218" s="49">
        <f>IF($A218="","",IFERROR(IF(OR(Inputs!$B$8&lt;=0,Inputs!$B$8=""),0,IF(AND($A218&gt;=Inputs!$B$8,MOD($A218,Inputs!$B$8)=0),Inputs!$B$7*(1+Inputs!$B$6/100)^$A218,0)),0))</f>
        <v>0</v>
      </c>
      <c r="F218" s="49">
        <f t="shared" si="10"/>
        <v>51365.331730283739</v>
      </c>
      <c r="G218" s="49">
        <f t="shared" si="11"/>
        <v>0</v>
      </c>
    </row>
    <row r="219" spans="1:7" ht="15" customHeight="1" x14ac:dyDescent="0.25">
      <c r="A219" s="49">
        <f>IF(13&lt;=Inputs!$B$3,13,"")</f>
        <v>13</v>
      </c>
      <c r="B219" s="49">
        <f t="shared" si="12"/>
        <v>51365.331730283739</v>
      </c>
      <c r="C219" s="49">
        <f>IF($A219="","",Inputs!$B$4*12*(1+Inputs!$B$10/100)^($A219-1))</f>
        <v>4800</v>
      </c>
      <c r="D219" s="49">
        <f>IF($A219="","",B219*(Inputs!$B$5/100))</f>
        <v>3595.573221119862</v>
      </c>
      <c r="E219" s="49">
        <f>IF($A219="","",IFERROR(IF(OR(Inputs!$B$8&lt;=0,Inputs!$B$8=""),0,IF(AND($A219&gt;=Inputs!$B$8,MOD($A219,Inputs!$B$8)=0),Inputs!$B$7*(1+Inputs!$B$6/100)^$A219,0)),0))</f>
        <v>0</v>
      </c>
      <c r="F219" s="49">
        <f t="shared" si="10"/>
        <v>59760.904951403601</v>
      </c>
      <c r="G219" s="49">
        <f t="shared" si="11"/>
        <v>0</v>
      </c>
    </row>
    <row r="220" spans="1:7" ht="15" customHeight="1" x14ac:dyDescent="0.25">
      <c r="A220" s="49">
        <f>IF(14&lt;=Inputs!$B$3,14,"")</f>
        <v>14</v>
      </c>
      <c r="B220" s="49">
        <f t="shared" si="12"/>
        <v>59760.904951403601</v>
      </c>
      <c r="C220" s="49">
        <f>IF($A220="","",Inputs!$B$4*12*(1+Inputs!$B$10/100)^($A220-1))</f>
        <v>4800</v>
      </c>
      <c r="D220" s="49">
        <f>IF($A220="","",B220*(Inputs!$B$5/100))</f>
        <v>4183.2633465982526</v>
      </c>
      <c r="E220" s="49">
        <f>IF($A220="","",IFERROR(IF(OR(Inputs!$B$8&lt;=0,Inputs!$B$8=""),0,IF(AND($A220&gt;=Inputs!$B$8,MOD($A220,Inputs!$B$8)=0),Inputs!$B$7*(1+Inputs!$B$6/100)^$A220,0)),0))</f>
        <v>30251.794497102219</v>
      </c>
      <c r="F220" s="49">
        <f t="shared" si="10"/>
        <v>38492.37380089963</v>
      </c>
      <c r="G220" s="49">
        <f t="shared" si="11"/>
        <v>0</v>
      </c>
    </row>
    <row r="221" spans="1:7" ht="15" customHeight="1" x14ac:dyDescent="0.25">
      <c r="A221" s="49">
        <f>IF(15&lt;=Inputs!$B$3,15,"")</f>
        <v>15</v>
      </c>
      <c r="B221" s="49">
        <f t="shared" si="12"/>
        <v>38492.37380089963</v>
      </c>
      <c r="C221" s="49">
        <f>IF($A221="","",Inputs!$B$4*12*(1+Inputs!$B$10/100)^($A221-1))</f>
        <v>4800</v>
      </c>
      <c r="D221" s="49">
        <f>IF($A221="","",B221*(Inputs!$B$5/100))</f>
        <v>2694.4661660629745</v>
      </c>
      <c r="E221" s="49">
        <f>IF($A221="","",IFERROR(IF(OR(Inputs!$B$8&lt;=0,Inputs!$B$8=""),0,IF(AND($A221&gt;=Inputs!$B$8,MOD($A221,Inputs!$B$8)=0),Inputs!$B$7*(1+Inputs!$B$6/100)^$A221,0)),0))</f>
        <v>0</v>
      </c>
      <c r="F221" s="49">
        <f t="shared" si="10"/>
        <v>45986.839966962601</v>
      </c>
      <c r="G221" s="49">
        <f t="shared" si="11"/>
        <v>0</v>
      </c>
    </row>
    <row r="222" spans="1:7" ht="15" customHeight="1" x14ac:dyDescent="0.25">
      <c r="A222" s="49">
        <f>IF(16&lt;=Inputs!$B$3,16,"")</f>
        <v>16</v>
      </c>
      <c r="B222" s="49">
        <f t="shared" si="12"/>
        <v>45986.839966962601</v>
      </c>
      <c r="C222" s="49">
        <f>IF($A222="","",Inputs!$B$4*12*(1+Inputs!$B$10/100)^($A222-1))</f>
        <v>4800</v>
      </c>
      <c r="D222" s="49">
        <f>IF($A222="","",B222*(Inputs!$B$5/100))</f>
        <v>3219.0787976873826</v>
      </c>
      <c r="E222" s="49">
        <f>IF($A222="","",IFERROR(IF(OR(Inputs!$B$8&lt;=0,Inputs!$B$8=""),0,IF(AND($A222&gt;=Inputs!$B$8,MOD($A222,Inputs!$B$8)=0),Inputs!$B$7*(1+Inputs!$B$6/100)^$A222,0)),0))</f>
        <v>0</v>
      </c>
      <c r="F222" s="49">
        <f t="shared" si="10"/>
        <v>54005.918764649985</v>
      </c>
      <c r="G222" s="49">
        <f t="shared" si="11"/>
        <v>0</v>
      </c>
    </row>
    <row r="223" spans="1:7" ht="15" customHeight="1" x14ac:dyDescent="0.25">
      <c r="A223" s="49">
        <f>IF(17&lt;=Inputs!$B$3,17,"")</f>
        <v>17</v>
      </c>
      <c r="B223" s="49">
        <f t="shared" si="12"/>
        <v>54005.918764649985</v>
      </c>
      <c r="C223" s="49">
        <f>IF($A223="","",Inputs!$B$4*12*(1+Inputs!$B$10/100)^($A223-1))</f>
        <v>4800</v>
      </c>
      <c r="D223" s="49">
        <f>IF($A223="","",B223*(Inputs!$B$5/100))</f>
        <v>3780.4143135254994</v>
      </c>
      <c r="E223" s="49">
        <f>IF($A223="","",IFERROR(IF(OR(Inputs!$B$8&lt;=0,Inputs!$B$8=""),0,IF(AND($A223&gt;=Inputs!$B$8,MOD($A223,Inputs!$B$8)=0),Inputs!$B$7*(1+Inputs!$B$6/100)^$A223,0)),0))</f>
        <v>0</v>
      </c>
      <c r="F223" s="49">
        <f t="shared" si="10"/>
        <v>62586.333078175485</v>
      </c>
      <c r="G223" s="49">
        <f t="shared" si="11"/>
        <v>0</v>
      </c>
    </row>
    <row r="224" spans="1:7" ht="15" customHeight="1" x14ac:dyDescent="0.25">
      <c r="A224" s="49">
        <f>IF(18&lt;=Inputs!$B$3,18,"")</f>
        <v>18</v>
      </c>
      <c r="B224" s="49">
        <f t="shared" si="12"/>
        <v>62586.333078175485</v>
      </c>
      <c r="C224" s="49">
        <f>IF($A224="","",Inputs!$B$4*12*(1+Inputs!$B$10/100)^($A224-1))</f>
        <v>4800</v>
      </c>
      <c r="D224" s="49">
        <f>IF($A224="","",B224*(Inputs!$B$5/100))</f>
        <v>4381.0433154722841</v>
      </c>
      <c r="E224" s="49">
        <f>IF($A224="","",IFERROR(IF(OR(Inputs!$B$8&lt;=0,Inputs!$B$8=""),0,IF(AND($A224&gt;=Inputs!$B$8,MOD($A224,Inputs!$B$8)=0),Inputs!$B$7*(1+Inputs!$B$6/100)^$A224,0)),0))</f>
        <v>0</v>
      </c>
      <c r="F224" s="49">
        <f t="shared" si="10"/>
        <v>71767.376393647777</v>
      </c>
      <c r="G224" s="49">
        <f t="shared" si="11"/>
        <v>0</v>
      </c>
    </row>
    <row r="225" spans="1:7" ht="15" customHeight="1" x14ac:dyDescent="0.25">
      <c r="A225" s="49">
        <f>IF(19&lt;=Inputs!$B$3,19,"")</f>
        <v>19</v>
      </c>
      <c r="B225" s="49">
        <f t="shared" si="12"/>
        <v>71767.376393647777</v>
      </c>
      <c r="C225" s="49">
        <f>IF($A225="","",Inputs!$B$4*12*(1+Inputs!$B$10/100)^($A225-1))</f>
        <v>4800</v>
      </c>
      <c r="D225" s="49">
        <f>IF($A225="","",B225*(Inputs!$B$5/100))</f>
        <v>5023.7163475553452</v>
      </c>
      <c r="E225" s="49">
        <f>IF($A225="","",IFERROR(IF(OR(Inputs!$B$8&lt;=0,Inputs!$B$8=""),0,IF(AND($A225&gt;=Inputs!$B$8,MOD($A225,Inputs!$B$8)=0),Inputs!$B$7*(1+Inputs!$B$6/100)^$A225,0)),0))</f>
        <v>0</v>
      </c>
      <c r="F225" s="49">
        <f t="shared" si="10"/>
        <v>81591.092741203116</v>
      </c>
      <c r="G225" s="49">
        <f t="shared" si="11"/>
        <v>1</v>
      </c>
    </row>
    <row r="226" spans="1:7" ht="15" customHeight="1" x14ac:dyDescent="0.25">
      <c r="A226" s="49">
        <f>IF(20&lt;=Inputs!$B$3,20,"")</f>
        <v>20</v>
      </c>
      <c r="B226" s="49">
        <f t="shared" si="12"/>
        <v>81591.092741203116</v>
      </c>
      <c r="C226" s="49">
        <f>IF($A226="","",Inputs!$B$4*12*(1+Inputs!$B$10/100)^($A226-1))</f>
        <v>4800</v>
      </c>
      <c r="D226" s="49">
        <f>IF($A226="","",B226*(Inputs!$B$5/100))</f>
        <v>5711.3764918842189</v>
      </c>
      <c r="E226" s="49">
        <f>IF($A226="","",IFERROR(IF(OR(Inputs!$B$8&lt;=0,Inputs!$B$8=""),0,IF(AND($A226&gt;=Inputs!$B$8,MOD($A226,Inputs!$B$8)=0),Inputs!$B$7*(1+Inputs!$B$6/100)^$A226,0)),0))</f>
        <v>0</v>
      </c>
      <c r="F226" s="49">
        <f t="shared" si="10"/>
        <v>92102.469233087337</v>
      </c>
      <c r="G226" s="49">
        <f t="shared" si="11"/>
        <v>1</v>
      </c>
    </row>
    <row r="227" spans="1:7" ht="15" customHeight="1" x14ac:dyDescent="0.25">
      <c r="A227" s="49">
        <f>IF(21&lt;=Inputs!$B$3,21,"")</f>
        <v>21</v>
      </c>
      <c r="B227" s="49">
        <f t="shared" si="12"/>
        <v>92102.469233087337</v>
      </c>
      <c r="C227" s="49">
        <f>IF($A227="","",Inputs!$B$4*12*(1+Inputs!$B$10/100)^($A227-1))</f>
        <v>4800</v>
      </c>
      <c r="D227" s="49">
        <f>IF($A227="","",B227*(Inputs!$B$5/100))</f>
        <v>6447.1728463161144</v>
      </c>
      <c r="E227" s="49">
        <f>IF($A227="","",IFERROR(IF(OR(Inputs!$B$8&lt;=0,Inputs!$B$8=""),0,IF(AND($A227&gt;=Inputs!$B$8,MOD($A227,Inputs!$B$8)=0),Inputs!$B$7*(1+Inputs!$B$6/100)^$A227,0)),0))</f>
        <v>37205.891434189907</v>
      </c>
      <c r="F227" s="49">
        <f t="shared" si="10"/>
        <v>66143.750645213542</v>
      </c>
      <c r="G227" s="49">
        <f t="shared" si="11"/>
        <v>1</v>
      </c>
    </row>
    <row r="228" spans="1:7" ht="15" customHeight="1" x14ac:dyDescent="0.25">
      <c r="A228" s="49">
        <f>IF(22&lt;=Inputs!$B$3,22,"")</f>
        <v>22</v>
      </c>
      <c r="B228" s="49">
        <f t="shared" si="12"/>
        <v>66143.750645213542</v>
      </c>
      <c r="C228" s="49">
        <f>IF($A228="","",Inputs!$B$4*12*(1+Inputs!$B$10/100)^($A228-1))</f>
        <v>4800</v>
      </c>
      <c r="D228" s="49">
        <f>IF($A228="","",B228*(Inputs!$B$5/100))</f>
        <v>4630.0625451649485</v>
      </c>
      <c r="E228" s="49">
        <f>IF($A228="","",IFERROR(IF(OR(Inputs!$B$8&lt;=0,Inputs!$B$8=""),0,IF(AND($A228&gt;=Inputs!$B$8,MOD($A228,Inputs!$B$8)=0),Inputs!$B$7*(1+Inputs!$B$6/100)^$A228,0)),0))</f>
        <v>0</v>
      </c>
      <c r="F228" s="49">
        <f t="shared" si="10"/>
        <v>75573.813190378496</v>
      </c>
      <c r="G228" s="49">
        <f t="shared" si="11"/>
        <v>0</v>
      </c>
    </row>
    <row r="229" spans="1:7" ht="15" customHeight="1" x14ac:dyDescent="0.25">
      <c r="A229" s="49">
        <f>IF(23&lt;=Inputs!$B$3,23,"")</f>
        <v>23</v>
      </c>
      <c r="B229" s="49">
        <f t="shared" si="12"/>
        <v>75573.813190378496</v>
      </c>
      <c r="C229" s="49">
        <f>IF($A229="","",Inputs!$B$4*12*(1+Inputs!$B$10/100)^($A229-1))</f>
        <v>4800</v>
      </c>
      <c r="D229" s="49">
        <f>IF($A229="","",B229*(Inputs!$B$5/100))</f>
        <v>5290.1669233264956</v>
      </c>
      <c r="E229" s="49">
        <f>IF($A229="","",IFERROR(IF(OR(Inputs!$B$8&lt;=0,Inputs!$B$8=""),0,IF(AND($A229&gt;=Inputs!$B$8,MOD($A229,Inputs!$B$8)=0),Inputs!$B$7*(1+Inputs!$B$6/100)^$A229,0)),0))</f>
        <v>0</v>
      </c>
      <c r="F229" s="49">
        <f t="shared" si="10"/>
        <v>85663.980113704994</v>
      </c>
      <c r="G229" s="49">
        <f t="shared" si="11"/>
        <v>1</v>
      </c>
    </row>
    <row r="230" spans="1:7" ht="15" customHeight="1" x14ac:dyDescent="0.25">
      <c r="A230" s="49">
        <f>IF(24&lt;=Inputs!$B$3,24,"")</f>
        <v>24</v>
      </c>
      <c r="B230" s="49">
        <f t="shared" si="12"/>
        <v>85663.980113704994</v>
      </c>
      <c r="C230" s="49">
        <f>IF($A230="","",Inputs!$B$4*12*(1+Inputs!$B$10/100)^($A230-1))</f>
        <v>4800</v>
      </c>
      <c r="D230" s="49">
        <f>IF($A230="","",B230*(Inputs!$B$5/100))</f>
        <v>5996.4786079593505</v>
      </c>
      <c r="E230" s="49">
        <f>IF($A230="","",IFERROR(IF(OR(Inputs!$B$8&lt;=0,Inputs!$B$8=""),0,IF(AND($A230&gt;=Inputs!$B$8,MOD($A230,Inputs!$B$8)=0),Inputs!$B$7*(1+Inputs!$B$6/100)^$A230,0)),0))</f>
        <v>0</v>
      </c>
      <c r="F230" s="49">
        <f t="shared" si="10"/>
        <v>96460.458721664341</v>
      </c>
      <c r="G230" s="49">
        <f t="shared" si="11"/>
        <v>1</v>
      </c>
    </row>
    <row r="231" spans="1:7" ht="15" customHeight="1" x14ac:dyDescent="0.25">
      <c r="A231" s="49">
        <f>IF(25&lt;=Inputs!$B$3,25,"")</f>
        <v>25</v>
      </c>
      <c r="B231" s="49">
        <f t="shared" si="12"/>
        <v>96460.458721664341</v>
      </c>
      <c r="C231" s="49">
        <f>IF($A231="","",Inputs!$B$4*12*(1+Inputs!$B$10/100)^($A231-1))</f>
        <v>4800</v>
      </c>
      <c r="D231" s="49">
        <f>IF($A231="","",B231*(Inputs!$B$5/100))</f>
        <v>6752.2321105165047</v>
      </c>
      <c r="E231" s="49">
        <f>IF($A231="","",IFERROR(IF(OR(Inputs!$B$8&lt;=0,Inputs!$B$8=""),0,IF(AND($A231&gt;=Inputs!$B$8,MOD($A231,Inputs!$B$8)=0),Inputs!$B$7*(1+Inputs!$B$6/100)^$A231,0)),0))</f>
        <v>0</v>
      </c>
      <c r="F231" s="49">
        <f t="shared" si="10"/>
        <v>108012.69083218084</v>
      </c>
      <c r="G231" s="49">
        <f t="shared" si="11"/>
        <v>1</v>
      </c>
    </row>
    <row r="232" spans="1:7" ht="15" customHeight="1" x14ac:dyDescent="0.25">
      <c r="A232" s="49">
        <f>IF(26&lt;=Inputs!$B$3,26,"")</f>
        <v>26</v>
      </c>
      <c r="B232" s="49">
        <f t="shared" si="12"/>
        <v>108012.69083218084</v>
      </c>
      <c r="C232" s="49">
        <f>IF($A232="","",Inputs!$B$4*12*(1+Inputs!$B$10/100)^($A232-1))</f>
        <v>4800</v>
      </c>
      <c r="D232" s="49">
        <f>IF($A232="","",B232*(Inputs!$B$5/100))</f>
        <v>7560.8883582526596</v>
      </c>
      <c r="E232" s="49">
        <f>IF($A232="","",IFERROR(IF(OR(Inputs!$B$8&lt;=0,Inputs!$B$8=""),0,IF(AND($A232&gt;=Inputs!$B$8,MOD($A232,Inputs!$B$8)=0),Inputs!$B$7*(1+Inputs!$B$6/100)^$A232,0)),0))</f>
        <v>0</v>
      </c>
      <c r="F232" s="49">
        <f t="shared" si="10"/>
        <v>120373.57919043351</v>
      </c>
      <c r="G232" s="49">
        <f t="shared" si="11"/>
        <v>1</v>
      </c>
    </row>
    <row r="233" spans="1:7" ht="15" customHeight="1" x14ac:dyDescent="0.25">
      <c r="A233" s="49">
        <f>IF(27&lt;=Inputs!$B$3,27,"")</f>
        <v>27</v>
      </c>
      <c r="B233" s="49">
        <f t="shared" si="12"/>
        <v>120373.57919043351</v>
      </c>
      <c r="C233" s="49">
        <f>IF($A233="","",Inputs!$B$4*12*(1+Inputs!$B$10/100)^($A233-1))</f>
        <v>4800</v>
      </c>
      <c r="D233" s="49">
        <f>IF($A233="","",B233*(Inputs!$B$5/100))</f>
        <v>8426.1505433303464</v>
      </c>
      <c r="E233" s="49">
        <f>IF($A233="","",IFERROR(IF(OR(Inputs!$B$8&lt;=0,Inputs!$B$8=""),0,IF(AND($A233&gt;=Inputs!$B$8,MOD($A233,Inputs!$B$8)=0),Inputs!$B$7*(1+Inputs!$B$6/100)^$A233,0)),0))</f>
        <v>0</v>
      </c>
      <c r="F233" s="49">
        <f t="shared" si="10"/>
        <v>133599.72973376384</v>
      </c>
      <c r="G233" s="49">
        <f t="shared" si="11"/>
        <v>1</v>
      </c>
    </row>
    <row r="234" spans="1:7" ht="15" customHeight="1" x14ac:dyDescent="0.25">
      <c r="A234" s="49">
        <f>IF(28&lt;=Inputs!$B$3,28,"")</f>
        <v>28</v>
      </c>
      <c r="B234" s="49">
        <f t="shared" si="12"/>
        <v>133599.72973376384</v>
      </c>
      <c r="C234" s="49">
        <f>IF($A234="","",Inputs!$B$4*12*(1+Inputs!$B$10/100)^($A234-1))</f>
        <v>4800</v>
      </c>
      <c r="D234" s="49">
        <f>IF($A234="","",B234*(Inputs!$B$5/100))</f>
        <v>9351.9810813634704</v>
      </c>
      <c r="E234" s="49">
        <f>IF($A234="","",IFERROR(IF(OR(Inputs!$B$8&lt;=0,Inputs!$B$8=""),0,IF(AND($A234&gt;=Inputs!$B$8,MOD($A234,Inputs!$B$8)=0),Inputs!$B$7*(1+Inputs!$B$6/100)^$A234,0)),0))</f>
        <v>45758.553514745203</v>
      </c>
      <c r="F234" s="49">
        <f t="shared" si="10"/>
        <v>101993.15730038212</v>
      </c>
      <c r="G234" s="49">
        <f t="shared" si="11"/>
        <v>1</v>
      </c>
    </row>
    <row r="235" spans="1:7" ht="15" customHeight="1" x14ac:dyDescent="0.25">
      <c r="A235" s="49">
        <f>IF(29&lt;=Inputs!$B$3,29,"")</f>
        <v>29</v>
      </c>
      <c r="B235" s="49">
        <f t="shared" si="12"/>
        <v>101993.15730038212</v>
      </c>
      <c r="C235" s="49">
        <f>IF($A235="","",Inputs!$B$4*12*(1+Inputs!$B$10/100)^($A235-1))</f>
        <v>4800</v>
      </c>
      <c r="D235" s="49">
        <f>IF($A235="","",B235*(Inputs!$B$5/100))</f>
        <v>7139.5210110267499</v>
      </c>
      <c r="E235" s="49">
        <f>IF($A235="","",IFERROR(IF(OR(Inputs!$B$8&lt;=0,Inputs!$B$8=""),0,IF(AND($A235&gt;=Inputs!$B$8,MOD($A235,Inputs!$B$8)=0),Inputs!$B$7*(1+Inputs!$B$6/100)^$A235,0)),0))</f>
        <v>0</v>
      </c>
      <c r="F235" s="49">
        <f t="shared" si="10"/>
        <v>113932.67831140888</v>
      </c>
      <c r="G235" s="49">
        <f t="shared" si="11"/>
        <v>1</v>
      </c>
    </row>
    <row r="236" spans="1:7" ht="15" customHeight="1" x14ac:dyDescent="0.25">
      <c r="A236" s="49">
        <f>IF(30&lt;=Inputs!$B$3,30,"")</f>
        <v>30</v>
      </c>
      <c r="B236" s="49">
        <f t="shared" si="12"/>
        <v>113932.67831140888</v>
      </c>
      <c r="C236" s="49">
        <f>IF($A236="","",Inputs!$B$4*12*(1+Inputs!$B$10/100)^($A236-1))</f>
        <v>4800</v>
      </c>
      <c r="D236" s="49">
        <f>IF($A236="","",B236*(Inputs!$B$5/100))</f>
        <v>7975.2874817986221</v>
      </c>
      <c r="E236" s="49">
        <f>IF($A236="","",IFERROR(IF(OR(Inputs!$B$8&lt;=0,Inputs!$B$8=""),0,IF(AND($A236&gt;=Inputs!$B$8,MOD($A236,Inputs!$B$8)=0),Inputs!$B$7*(1+Inputs!$B$6/100)^$A236,0)),0))</f>
        <v>0</v>
      </c>
      <c r="F236" s="49">
        <f t="shared" si="10"/>
        <v>126707.96579320749</v>
      </c>
      <c r="G236" s="49">
        <f t="shared" si="11"/>
        <v>1</v>
      </c>
    </row>
    <row r="237" spans="1:7" ht="15" customHeight="1" x14ac:dyDescent="0.25">
      <c r="A237" s="49">
        <f>IF(31&lt;=Inputs!$B$3,31,"")</f>
        <v>31</v>
      </c>
      <c r="B237" s="49">
        <f t="shared" si="12"/>
        <v>126707.96579320749</v>
      </c>
      <c r="C237" s="49">
        <f>IF($A237="","",Inputs!$B$4*12*(1+Inputs!$B$10/100)^($A237-1))</f>
        <v>4800</v>
      </c>
      <c r="D237" s="49">
        <f>IF($A237="","",B237*(Inputs!$B$5/100))</f>
        <v>8869.5576055245256</v>
      </c>
      <c r="E237" s="49">
        <f>IF($A237="","",IFERROR(IF(OR(Inputs!$B$8&lt;=0,Inputs!$B$8=""),0,IF(AND($A237&gt;=Inputs!$B$8,MOD($A237,Inputs!$B$8)=0),Inputs!$B$7*(1+Inputs!$B$6/100)^$A237,0)),0))</f>
        <v>0</v>
      </c>
      <c r="F237" s="49">
        <f t="shared" si="10"/>
        <v>140377.52339873201</v>
      </c>
      <c r="G237" s="49">
        <f t="shared" si="11"/>
        <v>1</v>
      </c>
    </row>
    <row r="238" spans="1:7" ht="15" customHeight="1" x14ac:dyDescent="0.25">
      <c r="A238" s="49">
        <f>IF(32&lt;=Inputs!$B$3,32,"")</f>
        <v>32</v>
      </c>
      <c r="B238" s="49">
        <f t="shared" si="12"/>
        <v>140377.52339873201</v>
      </c>
      <c r="C238" s="49">
        <f>IF($A238="","",Inputs!$B$4*12*(1+Inputs!$B$10/100)^($A238-1))</f>
        <v>4800</v>
      </c>
      <c r="D238" s="49">
        <f>IF($A238="","",B238*(Inputs!$B$5/100))</f>
        <v>9826.4266379112414</v>
      </c>
      <c r="E238" s="49">
        <f>IF($A238="","",IFERROR(IF(OR(Inputs!$B$8&lt;=0,Inputs!$B$8=""),0,IF(AND($A238&gt;=Inputs!$B$8,MOD($A238,Inputs!$B$8)=0),Inputs!$B$7*(1+Inputs!$B$6/100)^$A238,0)),0))</f>
        <v>0</v>
      </c>
      <c r="F238" s="49">
        <f t="shared" si="10"/>
        <v>155003.95003664325</v>
      </c>
      <c r="G238" s="49">
        <f t="shared" si="11"/>
        <v>1</v>
      </c>
    </row>
    <row r="239" spans="1:7" ht="15" customHeight="1" x14ac:dyDescent="0.25">
      <c r="A239" s="49">
        <f>IF(33&lt;=Inputs!$B$3,33,"")</f>
        <v>33</v>
      </c>
      <c r="B239" s="49">
        <f t="shared" si="12"/>
        <v>155003.95003664325</v>
      </c>
      <c r="C239" s="49">
        <f>IF($A239="","",Inputs!$B$4*12*(1+Inputs!$B$10/100)^($A239-1))</f>
        <v>4800</v>
      </c>
      <c r="D239" s="49">
        <f>IF($A239="","",B239*(Inputs!$B$5/100))</f>
        <v>10850.276502565028</v>
      </c>
      <c r="E239" s="49">
        <f>IF($A239="","",IFERROR(IF(OR(Inputs!$B$8&lt;=0,Inputs!$B$8=""),0,IF(AND($A239&gt;=Inputs!$B$8,MOD($A239,Inputs!$B$8)=0),Inputs!$B$7*(1+Inputs!$B$6/100)^$A239,0)),0))</f>
        <v>0</v>
      </c>
      <c r="F239" s="49">
        <f t="shared" ref="F239:F270" si="13">IF($A239="","",B239+C239+D239-E239)</f>
        <v>170654.22653920826</v>
      </c>
      <c r="G239" s="49">
        <f t="shared" ref="G239:G270" si="14">IF($A239="",0,IF(D239&gt;C239,1,0))</f>
        <v>1</v>
      </c>
    </row>
    <row r="240" spans="1:7" ht="15" customHeight="1" x14ac:dyDescent="0.25">
      <c r="A240" s="49">
        <f>IF(34&lt;=Inputs!$B$3,34,"")</f>
        <v>34</v>
      </c>
      <c r="B240" s="49">
        <f t="shared" ref="B240:B271" si="15">IF($A240="","",F239)</f>
        <v>170654.22653920826</v>
      </c>
      <c r="C240" s="49">
        <f>IF($A240="","",Inputs!$B$4*12*(1+Inputs!$B$10/100)^($A240-1))</f>
        <v>4800</v>
      </c>
      <c r="D240" s="49">
        <f>IF($A240="","",B240*(Inputs!$B$5/100))</f>
        <v>11945.795857744579</v>
      </c>
      <c r="E240" s="49">
        <f>IF($A240="","",IFERROR(IF(OR(Inputs!$B$8&lt;=0,Inputs!$B$8=""),0,IF(AND($A240&gt;=Inputs!$B$8,MOD($A240,Inputs!$B$8)=0),Inputs!$B$7*(1+Inputs!$B$6/100)^$A240,0)),0))</f>
        <v>0</v>
      </c>
      <c r="F240" s="49">
        <f t="shared" si="13"/>
        <v>187400.02239695285</v>
      </c>
      <c r="G240" s="49">
        <f t="shared" si="14"/>
        <v>1</v>
      </c>
    </row>
    <row r="241" spans="1:7" ht="15" customHeight="1" x14ac:dyDescent="0.25">
      <c r="A241" s="49">
        <f>IF(35&lt;=Inputs!$B$3,35,"")</f>
        <v>35</v>
      </c>
      <c r="B241" s="49">
        <f t="shared" si="15"/>
        <v>187400.02239695285</v>
      </c>
      <c r="C241" s="49">
        <f>IF($A241="","",Inputs!$B$4*12*(1+Inputs!$B$10/100)^($A241-1))</f>
        <v>4800</v>
      </c>
      <c r="D241" s="49">
        <f>IF($A241="","",B241*(Inputs!$B$5/100))</f>
        <v>13118.0015677867</v>
      </c>
      <c r="E241" s="49">
        <f>IF($A241="","",IFERROR(IF(OR(Inputs!$B$8&lt;=0,Inputs!$B$8=""),0,IF(AND($A241&gt;=Inputs!$B$8,MOD($A241,Inputs!$B$8)=0),Inputs!$B$7*(1+Inputs!$B$6/100)^$A241,0)),0))</f>
        <v>56277.249087430449</v>
      </c>
      <c r="F241" s="49">
        <f t="shared" si="13"/>
        <v>149040.7748773091</v>
      </c>
      <c r="G241" s="49">
        <f t="shared" si="14"/>
        <v>1</v>
      </c>
    </row>
    <row r="242" spans="1:7" ht="15" customHeight="1" x14ac:dyDescent="0.25">
      <c r="A242" s="49">
        <f>IF(36&lt;=Inputs!$B$3,36,"")</f>
        <v>36</v>
      </c>
      <c r="B242" s="49">
        <f t="shared" si="15"/>
        <v>149040.7748773091</v>
      </c>
      <c r="C242" s="49">
        <f>IF($A242="","",Inputs!$B$4*12*(1+Inputs!$B$10/100)^($A242-1))</f>
        <v>4800</v>
      </c>
      <c r="D242" s="49">
        <f>IF($A242="","",B242*(Inputs!$B$5/100))</f>
        <v>10432.854241411638</v>
      </c>
      <c r="E242" s="49">
        <f>IF($A242="","",IFERROR(IF(OR(Inputs!$B$8&lt;=0,Inputs!$B$8=""),0,IF(AND($A242&gt;=Inputs!$B$8,MOD($A242,Inputs!$B$8)=0),Inputs!$B$7*(1+Inputs!$B$6/100)^$A242,0)),0))</f>
        <v>0</v>
      </c>
      <c r="F242" s="49">
        <f t="shared" si="13"/>
        <v>164273.62911872074</v>
      </c>
      <c r="G242" s="49">
        <f t="shared" si="14"/>
        <v>1</v>
      </c>
    </row>
    <row r="243" spans="1:7" ht="15" customHeight="1" x14ac:dyDescent="0.25">
      <c r="A243" s="49">
        <f>IF(37&lt;=Inputs!$B$3,37,"")</f>
        <v>37</v>
      </c>
      <c r="B243" s="49">
        <f t="shared" si="15"/>
        <v>164273.62911872074</v>
      </c>
      <c r="C243" s="49">
        <f>IF($A243="","",Inputs!$B$4*12*(1+Inputs!$B$10/100)^($A243-1))</f>
        <v>4800</v>
      </c>
      <c r="D243" s="49">
        <f>IF($A243="","",B243*(Inputs!$B$5/100))</f>
        <v>11499.154038310453</v>
      </c>
      <c r="E243" s="49">
        <f>IF($A243="","",IFERROR(IF(OR(Inputs!$B$8&lt;=0,Inputs!$B$8=""),0,IF(AND($A243&gt;=Inputs!$B$8,MOD($A243,Inputs!$B$8)=0),Inputs!$B$7*(1+Inputs!$B$6/100)^$A243,0)),0))</f>
        <v>0</v>
      </c>
      <c r="F243" s="49">
        <f t="shared" si="13"/>
        <v>180572.7831570312</v>
      </c>
      <c r="G243" s="49">
        <f t="shared" si="14"/>
        <v>1</v>
      </c>
    </row>
    <row r="244" spans="1:7" ht="15" customHeight="1" x14ac:dyDescent="0.25">
      <c r="A244" s="49" t="str">
        <f>IF(38&lt;=Inputs!$B$3,38,"")</f>
        <v/>
      </c>
      <c r="B244" s="49" t="str">
        <f t="shared" si="15"/>
        <v/>
      </c>
      <c r="C244" s="49" t="str">
        <f>IF($A244="","",Inputs!$B$4*12*(1+Inputs!$B$10/100)^($A244-1))</f>
        <v/>
      </c>
      <c r="D244" s="49" t="str">
        <f>IF($A244="","",B244*(Inputs!$B$5/100))</f>
        <v/>
      </c>
      <c r="E244" s="49" t="str">
        <f>IF($A244="","",IFERROR(IF(OR(Inputs!$B$8&lt;=0,Inputs!$B$8=""),0,IF(AND($A244&gt;=Inputs!$B$8,MOD($A244,Inputs!$B$8)=0),Inputs!$B$7*(1+Inputs!$B$6/100)^$A244,0)),0))</f>
        <v/>
      </c>
      <c r="F244" s="49" t="str">
        <f t="shared" si="13"/>
        <v/>
      </c>
      <c r="G244" s="49">
        <f t="shared" si="14"/>
        <v>0</v>
      </c>
    </row>
    <row r="245" spans="1:7" ht="15" customHeight="1" x14ac:dyDescent="0.25">
      <c r="A245" s="49" t="str">
        <f>IF(39&lt;=Inputs!$B$3,39,"")</f>
        <v/>
      </c>
      <c r="B245" s="49" t="str">
        <f t="shared" si="15"/>
        <v/>
      </c>
      <c r="C245" s="49" t="str">
        <f>IF($A245="","",Inputs!$B$4*12*(1+Inputs!$B$10/100)^($A245-1))</f>
        <v/>
      </c>
      <c r="D245" s="49" t="str">
        <f>IF($A245="","",B245*(Inputs!$B$5/100))</f>
        <v/>
      </c>
      <c r="E245" s="49" t="str">
        <f>IF($A245="","",IFERROR(IF(OR(Inputs!$B$8&lt;=0,Inputs!$B$8=""),0,IF(AND($A245&gt;=Inputs!$B$8,MOD($A245,Inputs!$B$8)=0),Inputs!$B$7*(1+Inputs!$B$6/100)^$A245,0)),0))</f>
        <v/>
      </c>
      <c r="F245" s="49" t="str">
        <f t="shared" si="13"/>
        <v/>
      </c>
      <c r="G245" s="49">
        <f t="shared" si="14"/>
        <v>0</v>
      </c>
    </row>
    <row r="246" spans="1:7" ht="15" customHeight="1" x14ac:dyDescent="0.25">
      <c r="A246" s="49" t="str">
        <f>IF(40&lt;=Inputs!$B$3,40,"")</f>
        <v/>
      </c>
      <c r="B246" s="49" t="str">
        <f t="shared" si="15"/>
        <v/>
      </c>
      <c r="C246" s="49" t="str">
        <f>IF($A246="","",Inputs!$B$4*12*(1+Inputs!$B$10/100)^($A246-1))</f>
        <v/>
      </c>
      <c r="D246" s="49" t="str">
        <f>IF($A246="","",B246*(Inputs!$B$5/100))</f>
        <v/>
      </c>
      <c r="E246" s="49" t="str">
        <f>IF($A246="","",IFERROR(IF(OR(Inputs!$B$8&lt;=0,Inputs!$B$8=""),0,IF(AND($A246&gt;=Inputs!$B$8,MOD($A246,Inputs!$B$8)=0),Inputs!$B$7*(1+Inputs!$B$6/100)^$A246,0)),0))</f>
        <v/>
      </c>
      <c r="F246" s="49" t="str">
        <f t="shared" si="13"/>
        <v/>
      </c>
      <c r="G246" s="49">
        <f t="shared" si="14"/>
        <v>0</v>
      </c>
    </row>
    <row r="247" spans="1:7" ht="15" customHeight="1" x14ac:dyDescent="0.25">
      <c r="A247" s="49" t="str">
        <f>IF(41&lt;=Inputs!$B$3,41,"")</f>
        <v/>
      </c>
      <c r="B247" s="49" t="str">
        <f t="shared" si="15"/>
        <v/>
      </c>
      <c r="C247" s="49" t="str">
        <f>IF($A247="","",Inputs!$B$4*12*(1+Inputs!$B$10/100)^($A247-1))</f>
        <v/>
      </c>
      <c r="D247" s="49" t="str">
        <f>IF($A247="","",B247*(Inputs!$B$5/100))</f>
        <v/>
      </c>
      <c r="E247" s="49" t="str">
        <f>IF($A247="","",IFERROR(IF(OR(Inputs!$B$8&lt;=0,Inputs!$B$8=""),0,IF(AND($A247&gt;=Inputs!$B$8,MOD($A247,Inputs!$B$8)=0),Inputs!$B$7*(1+Inputs!$B$6/100)^$A247,0)),0))</f>
        <v/>
      </c>
      <c r="F247" s="49" t="str">
        <f t="shared" si="13"/>
        <v/>
      </c>
      <c r="G247" s="49">
        <f t="shared" si="14"/>
        <v>0</v>
      </c>
    </row>
    <row r="248" spans="1:7" ht="15" customHeight="1" x14ac:dyDescent="0.25">
      <c r="A248" s="49" t="str">
        <f>IF(42&lt;=Inputs!$B$3,42,"")</f>
        <v/>
      </c>
      <c r="B248" s="49" t="str">
        <f t="shared" si="15"/>
        <v/>
      </c>
      <c r="C248" s="49" t="str">
        <f>IF($A248="","",Inputs!$B$4*12*(1+Inputs!$B$10/100)^($A248-1))</f>
        <v/>
      </c>
      <c r="D248" s="49" t="str">
        <f>IF($A248="","",B248*(Inputs!$B$5/100))</f>
        <v/>
      </c>
      <c r="E248" s="49" t="str">
        <f>IF($A248="","",IFERROR(IF(OR(Inputs!$B$8&lt;=0,Inputs!$B$8=""),0,IF(AND($A248&gt;=Inputs!$B$8,MOD($A248,Inputs!$B$8)=0),Inputs!$B$7*(1+Inputs!$B$6/100)^$A248,0)),0))</f>
        <v/>
      </c>
      <c r="F248" s="49" t="str">
        <f t="shared" si="13"/>
        <v/>
      </c>
      <c r="G248" s="49">
        <f t="shared" si="14"/>
        <v>0</v>
      </c>
    </row>
    <row r="249" spans="1:7" ht="15" customHeight="1" x14ac:dyDescent="0.25">
      <c r="A249" s="49" t="str">
        <f>IF(43&lt;=Inputs!$B$3,43,"")</f>
        <v/>
      </c>
      <c r="B249" s="49" t="str">
        <f t="shared" si="15"/>
        <v/>
      </c>
      <c r="C249" s="49" t="str">
        <f>IF($A249="","",Inputs!$B$4*12*(1+Inputs!$B$10/100)^($A249-1))</f>
        <v/>
      </c>
      <c r="D249" s="49" t="str">
        <f>IF($A249="","",B249*(Inputs!$B$5/100))</f>
        <v/>
      </c>
      <c r="E249" s="49" t="str">
        <f>IF($A249="","",IFERROR(IF(OR(Inputs!$B$8&lt;=0,Inputs!$B$8=""),0,IF(AND($A249&gt;=Inputs!$B$8,MOD($A249,Inputs!$B$8)=0),Inputs!$B$7*(1+Inputs!$B$6/100)^$A249,0)),0))</f>
        <v/>
      </c>
      <c r="F249" s="49" t="str">
        <f t="shared" si="13"/>
        <v/>
      </c>
      <c r="G249" s="49">
        <f t="shared" si="14"/>
        <v>0</v>
      </c>
    </row>
    <row r="250" spans="1:7" ht="15" customHeight="1" x14ac:dyDescent="0.25">
      <c r="A250" s="49" t="str">
        <f>IF(44&lt;=Inputs!$B$3,44,"")</f>
        <v/>
      </c>
      <c r="B250" s="49" t="str">
        <f t="shared" si="15"/>
        <v/>
      </c>
      <c r="C250" s="49" t="str">
        <f>IF($A250="","",Inputs!$B$4*12*(1+Inputs!$B$10/100)^($A250-1))</f>
        <v/>
      </c>
      <c r="D250" s="49" t="str">
        <f>IF($A250="","",B250*(Inputs!$B$5/100))</f>
        <v/>
      </c>
      <c r="E250" s="49" t="str">
        <f>IF($A250="","",IFERROR(IF(OR(Inputs!$B$8&lt;=0,Inputs!$B$8=""),0,IF(AND($A250&gt;=Inputs!$B$8,MOD($A250,Inputs!$B$8)=0),Inputs!$B$7*(1+Inputs!$B$6/100)^$A250,0)),0))</f>
        <v/>
      </c>
      <c r="F250" s="49" t="str">
        <f t="shared" si="13"/>
        <v/>
      </c>
      <c r="G250" s="49">
        <f t="shared" si="14"/>
        <v>0</v>
      </c>
    </row>
    <row r="251" spans="1:7" ht="15" customHeight="1" x14ac:dyDescent="0.25">
      <c r="A251" s="49" t="str">
        <f>IF(45&lt;=Inputs!$B$3,45,"")</f>
        <v/>
      </c>
      <c r="B251" s="49" t="str">
        <f t="shared" si="15"/>
        <v/>
      </c>
      <c r="C251" s="49" t="str">
        <f>IF($A251="","",Inputs!$B$4*12*(1+Inputs!$B$10/100)^($A251-1))</f>
        <v/>
      </c>
      <c r="D251" s="49" t="str">
        <f>IF($A251="","",B251*(Inputs!$B$5/100))</f>
        <v/>
      </c>
      <c r="E251" s="49" t="str">
        <f>IF($A251="","",IFERROR(IF(OR(Inputs!$B$8&lt;=0,Inputs!$B$8=""),0,IF(AND($A251&gt;=Inputs!$B$8,MOD($A251,Inputs!$B$8)=0),Inputs!$B$7*(1+Inputs!$B$6/100)^$A251,0)),0))</f>
        <v/>
      </c>
      <c r="F251" s="49" t="str">
        <f t="shared" si="13"/>
        <v/>
      </c>
      <c r="G251" s="49">
        <f t="shared" si="14"/>
        <v>0</v>
      </c>
    </row>
    <row r="252" spans="1:7" ht="15" customHeight="1" x14ac:dyDescent="0.25">
      <c r="A252" s="49" t="str">
        <f>IF(46&lt;=Inputs!$B$3,46,"")</f>
        <v/>
      </c>
      <c r="B252" s="49" t="str">
        <f t="shared" si="15"/>
        <v/>
      </c>
      <c r="C252" s="49" t="str">
        <f>IF($A252="","",Inputs!$B$4*12*(1+Inputs!$B$10/100)^($A252-1))</f>
        <v/>
      </c>
      <c r="D252" s="49" t="str">
        <f>IF($A252="","",B252*(Inputs!$B$5/100))</f>
        <v/>
      </c>
      <c r="E252" s="49" t="str">
        <f>IF($A252="","",IFERROR(IF(OR(Inputs!$B$8&lt;=0,Inputs!$B$8=""),0,IF(AND($A252&gt;=Inputs!$B$8,MOD($A252,Inputs!$B$8)=0),Inputs!$B$7*(1+Inputs!$B$6/100)^$A252,0)),0))</f>
        <v/>
      </c>
      <c r="F252" s="49" t="str">
        <f t="shared" si="13"/>
        <v/>
      </c>
      <c r="G252" s="49">
        <f t="shared" si="14"/>
        <v>0</v>
      </c>
    </row>
    <row r="253" spans="1:7" ht="15" customHeight="1" x14ac:dyDescent="0.25">
      <c r="A253" s="49" t="str">
        <f>IF(47&lt;=Inputs!$B$3,47,"")</f>
        <v/>
      </c>
      <c r="B253" s="49" t="str">
        <f t="shared" si="15"/>
        <v/>
      </c>
      <c r="C253" s="49" t="str">
        <f>IF($A253="","",Inputs!$B$4*12*(1+Inputs!$B$10/100)^($A253-1))</f>
        <v/>
      </c>
      <c r="D253" s="49" t="str">
        <f>IF($A253="","",B253*(Inputs!$B$5/100))</f>
        <v/>
      </c>
      <c r="E253" s="49" t="str">
        <f>IF($A253="","",IFERROR(IF(OR(Inputs!$B$8&lt;=0,Inputs!$B$8=""),0,IF(AND($A253&gt;=Inputs!$B$8,MOD($A253,Inputs!$B$8)=0),Inputs!$B$7*(1+Inputs!$B$6/100)^$A253,0)),0))</f>
        <v/>
      </c>
      <c r="F253" s="49" t="str">
        <f t="shared" si="13"/>
        <v/>
      </c>
      <c r="G253" s="49">
        <f t="shared" si="14"/>
        <v>0</v>
      </c>
    </row>
    <row r="254" spans="1:7" ht="15" customHeight="1" x14ac:dyDescent="0.25">
      <c r="A254" s="49" t="str">
        <f>IF(48&lt;=Inputs!$B$3,48,"")</f>
        <v/>
      </c>
      <c r="B254" s="49" t="str">
        <f t="shared" si="15"/>
        <v/>
      </c>
      <c r="C254" s="49" t="str">
        <f>IF($A254="","",Inputs!$B$4*12*(1+Inputs!$B$10/100)^($A254-1))</f>
        <v/>
      </c>
      <c r="D254" s="49" t="str">
        <f>IF($A254="","",B254*(Inputs!$B$5/100))</f>
        <v/>
      </c>
      <c r="E254" s="49" t="str">
        <f>IF($A254="","",IFERROR(IF(OR(Inputs!$B$8&lt;=0,Inputs!$B$8=""),0,IF(AND($A254&gt;=Inputs!$B$8,MOD($A254,Inputs!$B$8)=0),Inputs!$B$7*(1+Inputs!$B$6/100)^$A254,0)),0))</f>
        <v/>
      </c>
      <c r="F254" s="49" t="str">
        <f t="shared" si="13"/>
        <v/>
      </c>
      <c r="G254" s="49">
        <f t="shared" si="14"/>
        <v>0</v>
      </c>
    </row>
    <row r="255" spans="1:7" ht="15" customHeight="1" x14ac:dyDescent="0.25">
      <c r="A255" s="49" t="str">
        <f>IF(49&lt;=Inputs!$B$3,49,"")</f>
        <v/>
      </c>
      <c r="B255" s="49" t="str">
        <f t="shared" si="15"/>
        <v/>
      </c>
      <c r="C255" s="49" t="str">
        <f>IF($A255="","",Inputs!$B$4*12*(1+Inputs!$B$10/100)^($A255-1))</f>
        <v/>
      </c>
      <c r="D255" s="49" t="str">
        <f>IF($A255="","",B255*(Inputs!$B$5/100))</f>
        <v/>
      </c>
      <c r="E255" s="49" t="str">
        <f>IF($A255="","",IFERROR(IF(OR(Inputs!$B$8&lt;=0,Inputs!$B$8=""),0,IF(AND($A255&gt;=Inputs!$B$8,MOD($A255,Inputs!$B$8)=0),Inputs!$B$7*(1+Inputs!$B$6/100)^$A255,0)),0))</f>
        <v/>
      </c>
      <c r="F255" s="49" t="str">
        <f t="shared" si="13"/>
        <v/>
      </c>
      <c r="G255" s="49">
        <f t="shared" si="14"/>
        <v>0</v>
      </c>
    </row>
    <row r="256" spans="1:7" ht="15" customHeight="1" x14ac:dyDescent="0.25">
      <c r="A256" s="49" t="str">
        <f>IF(50&lt;=Inputs!$B$3,50,"")</f>
        <v/>
      </c>
      <c r="B256" s="49" t="str">
        <f t="shared" si="15"/>
        <v/>
      </c>
      <c r="C256" s="49" t="str">
        <f>IF($A256="","",Inputs!$B$4*12*(1+Inputs!$B$10/100)^($A256-1))</f>
        <v/>
      </c>
      <c r="D256" s="49" t="str">
        <f>IF($A256="","",B256*(Inputs!$B$5/100))</f>
        <v/>
      </c>
      <c r="E256" s="49" t="str">
        <f>IF($A256="","",IFERROR(IF(OR(Inputs!$B$8&lt;=0,Inputs!$B$8=""),0,IF(AND($A256&gt;=Inputs!$B$8,MOD($A256,Inputs!$B$8)=0),Inputs!$B$7*(1+Inputs!$B$6/100)^$A256,0)),0))</f>
        <v/>
      </c>
      <c r="F256" s="49" t="str">
        <f t="shared" si="13"/>
        <v/>
      </c>
      <c r="G256" s="49">
        <f t="shared" si="14"/>
        <v>0</v>
      </c>
    </row>
    <row r="257" spans="1:7" ht="15" customHeight="1" x14ac:dyDescent="0.25">
      <c r="A257" s="49" t="str">
        <f>IF(51&lt;=Inputs!$B$3,51,"")</f>
        <v/>
      </c>
      <c r="B257" s="49" t="str">
        <f t="shared" si="15"/>
        <v/>
      </c>
      <c r="C257" s="49" t="str">
        <f>IF($A257="","",Inputs!$B$4*12*(1+Inputs!$B$10/100)^($A257-1))</f>
        <v/>
      </c>
      <c r="D257" s="49" t="str">
        <f>IF($A257="","",B257*(Inputs!$B$5/100))</f>
        <v/>
      </c>
      <c r="E257" s="49" t="str">
        <f>IF($A257="","",IFERROR(IF(OR(Inputs!$B$8&lt;=0,Inputs!$B$8=""),0,IF(AND($A257&gt;=Inputs!$B$8,MOD($A257,Inputs!$B$8)=0),Inputs!$B$7*(1+Inputs!$B$6/100)^$A257,0)),0))</f>
        <v/>
      </c>
      <c r="F257" s="49" t="str">
        <f t="shared" si="13"/>
        <v/>
      </c>
      <c r="G257" s="49">
        <f t="shared" si="14"/>
        <v>0</v>
      </c>
    </row>
    <row r="258" spans="1:7" ht="15" customHeight="1" x14ac:dyDescent="0.25">
      <c r="A258" s="49" t="str">
        <f>IF(52&lt;=Inputs!$B$3,52,"")</f>
        <v/>
      </c>
      <c r="B258" s="49" t="str">
        <f t="shared" si="15"/>
        <v/>
      </c>
      <c r="C258" s="49" t="str">
        <f>IF($A258="","",Inputs!$B$4*12*(1+Inputs!$B$10/100)^($A258-1))</f>
        <v/>
      </c>
      <c r="D258" s="49" t="str">
        <f>IF($A258="","",B258*(Inputs!$B$5/100))</f>
        <v/>
      </c>
      <c r="E258" s="49" t="str">
        <f>IF($A258="","",IFERROR(IF(OR(Inputs!$B$8&lt;=0,Inputs!$B$8=""),0,IF(AND($A258&gt;=Inputs!$B$8,MOD($A258,Inputs!$B$8)=0),Inputs!$B$7*(1+Inputs!$B$6/100)^$A258,0)),0))</f>
        <v/>
      </c>
      <c r="F258" s="49" t="str">
        <f t="shared" si="13"/>
        <v/>
      </c>
      <c r="G258" s="49">
        <f t="shared" si="14"/>
        <v>0</v>
      </c>
    </row>
    <row r="259" spans="1:7" ht="15" customHeight="1" x14ac:dyDescent="0.25">
      <c r="A259" s="49" t="str">
        <f>IF(53&lt;=Inputs!$B$3,53,"")</f>
        <v/>
      </c>
      <c r="B259" s="49" t="str">
        <f t="shared" si="15"/>
        <v/>
      </c>
      <c r="C259" s="49" t="str">
        <f>IF($A259="","",Inputs!$B$4*12*(1+Inputs!$B$10/100)^($A259-1))</f>
        <v/>
      </c>
      <c r="D259" s="49" t="str">
        <f>IF($A259="","",B259*(Inputs!$B$5/100))</f>
        <v/>
      </c>
      <c r="E259" s="49" t="str">
        <f>IF($A259="","",IFERROR(IF(OR(Inputs!$B$8&lt;=0,Inputs!$B$8=""),0,IF(AND($A259&gt;=Inputs!$B$8,MOD($A259,Inputs!$B$8)=0),Inputs!$B$7*(1+Inputs!$B$6/100)^$A259,0)),0))</f>
        <v/>
      </c>
      <c r="F259" s="49" t="str">
        <f t="shared" si="13"/>
        <v/>
      </c>
      <c r="G259" s="49">
        <f t="shared" si="14"/>
        <v>0</v>
      </c>
    </row>
    <row r="260" spans="1:7" ht="15" customHeight="1" x14ac:dyDescent="0.25">
      <c r="A260" s="49" t="str">
        <f>IF(54&lt;=Inputs!$B$3,54,"")</f>
        <v/>
      </c>
      <c r="B260" s="49" t="str">
        <f t="shared" si="15"/>
        <v/>
      </c>
      <c r="C260" s="49" t="str">
        <f>IF($A260="","",Inputs!$B$4*12*(1+Inputs!$B$10/100)^($A260-1))</f>
        <v/>
      </c>
      <c r="D260" s="49" t="str">
        <f>IF($A260="","",B260*(Inputs!$B$5/100))</f>
        <v/>
      </c>
      <c r="E260" s="49" t="str">
        <f>IF($A260="","",IFERROR(IF(OR(Inputs!$B$8&lt;=0,Inputs!$B$8=""),0,IF(AND($A260&gt;=Inputs!$B$8,MOD($A260,Inputs!$B$8)=0),Inputs!$B$7*(1+Inputs!$B$6/100)^$A260,0)),0))</f>
        <v/>
      </c>
      <c r="F260" s="49" t="str">
        <f t="shared" si="13"/>
        <v/>
      </c>
      <c r="G260" s="49">
        <f t="shared" si="14"/>
        <v>0</v>
      </c>
    </row>
    <row r="261" spans="1:7" ht="15" customHeight="1" x14ac:dyDescent="0.25">
      <c r="A261" s="49" t="str">
        <f>IF(55&lt;=Inputs!$B$3,55,"")</f>
        <v/>
      </c>
      <c r="B261" s="49" t="str">
        <f t="shared" si="15"/>
        <v/>
      </c>
      <c r="C261" s="49" t="str">
        <f>IF($A261="","",Inputs!$B$4*12*(1+Inputs!$B$10/100)^($A261-1))</f>
        <v/>
      </c>
      <c r="D261" s="49" t="str">
        <f>IF($A261="","",B261*(Inputs!$B$5/100))</f>
        <v/>
      </c>
      <c r="E261" s="49" t="str">
        <f>IF($A261="","",IFERROR(IF(OR(Inputs!$B$8&lt;=0,Inputs!$B$8=""),0,IF(AND($A261&gt;=Inputs!$B$8,MOD($A261,Inputs!$B$8)=0),Inputs!$B$7*(1+Inputs!$B$6/100)^$A261,0)),0))</f>
        <v/>
      </c>
      <c r="F261" s="49" t="str">
        <f t="shared" si="13"/>
        <v/>
      </c>
      <c r="G261" s="49">
        <f t="shared" si="14"/>
        <v>0</v>
      </c>
    </row>
    <row r="262" spans="1:7" ht="15" customHeight="1" x14ac:dyDescent="0.25">
      <c r="A262" s="49" t="str">
        <f>IF(56&lt;=Inputs!$B$3,56,"")</f>
        <v/>
      </c>
      <c r="B262" s="49" t="str">
        <f t="shared" si="15"/>
        <v/>
      </c>
      <c r="C262" s="49" t="str">
        <f>IF($A262="","",Inputs!$B$4*12*(1+Inputs!$B$10/100)^($A262-1))</f>
        <v/>
      </c>
      <c r="D262" s="49" t="str">
        <f>IF($A262="","",B262*(Inputs!$B$5/100))</f>
        <v/>
      </c>
      <c r="E262" s="49" t="str">
        <f>IF($A262="","",IFERROR(IF(OR(Inputs!$B$8&lt;=0,Inputs!$B$8=""),0,IF(AND($A262&gt;=Inputs!$B$8,MOD($A262,Inputs!$B$8)=0),Inputs!$B$7*(1+Inputs!$B$6/100)^$A262,0)),0))</f>
        <v/>
      </c>
      <c r="F262" s="49" t="str">
        <f t="shared" si="13"/>
        <v/>
      </c>
      <c r="G262" s="49">
        <f t="shared" si="14"/>
        <v>0</v>
      </c>
    </row>
    <row r="263" spans="1:7" ht="15" customHeight="1" x14ac:dyDescent="0.25">
      <c r="A263" s="49" t="str">
        <f>IF(57&lt;=Inputs!$B$3,57,"")</f>
        <v/>
      </c>
      <c r="B263" s="49" t="str">
        <f t="shared" si="15"/>
        <v/>
      </c>
      <c r="C263" s="49" t="str">
        <f>IF($A263="","",Inputs!$B$4*12*(1+Inputs!$B$10/100)^($A263-1))</f>
        <v/>
      </c>
      <c r="D263" s="49" t="str">
        <f>IF($A263="","",B263*(Inputs!$B$5/100))</f>
        <v/>
      </c>
      <c r="E263" s="49" t="str">
        <f>IF($A263="","",IFERROR(IF(OR(Inputs!$B$8&lt;=0,Inputs!$B$8=""),0,IF(AND($A263&gt;=Inputs!$B$8,MOD($A263,Inputs!$B$8)=0),Inputs!$B$7*(1+Inputs!$B$6/100)^$A263,0)),0))</f>
        <v/>
      </c>
      <c r="F263" s="49" t="str">
        <f t="shared" si="13"/>
        <v/>
      </c>
      <c r="G263" s="49">
        <f t="shared" si="14"/>
        <v>0</v>
      </c>
    </row>
    <row r="264" spans="1:7" ht="15" customHeight="1" x14ac:dyDescent="0.25">
      <c r="A264" s="49" t="str">
        <f>IF(58&lt;=Inputs!$B$3,58,"")</f>
        <v/>
      </c>
      <c r="B264" s="49" t="str">
        <f t="shared" si="15"/>
        <v/>
      </c>
      <c r="C264" s="49" t="str">
        <f>IF($A264="","",Inputs!$B$4*12*(1+Inputs!$B$10/100)^($A264-1))</f>
        <v/>
      </c>
      <c r="D264" s="49" t="str">
        <f>IF($A264="","",B264*(Inputs!$B$5/100))</f>
        <v/>
      </c>
      <c r="E264" s="49" t="str">
        <f>IF($A264="","",IFERROR(IF(OR(Inputs!$B$8&lt;=0,Inputs!$B$8=""),0,IF(AND($A264&gt;=Inputs!$B$8,MOD($A264,Inputs!$B$8)=0),Inputs!$B$7*(1+Inputs!$B$6/100)^$A264,0)),0))</f>
        <v/>
      </c>
      <c r="F264" s="49" t="str">
        <f t="shared" si="13"/>
        <v/>
      </c>
      <c r="G264" s="49">
        <f t="shared" si="14"/>
        <v>0</v>
      </c>
    </row>
    <row r="265" spans="1:7" ht="15" customHeight="1" x14ac:dyDescent="0.25">
      <c r="A265" s="49" t="str">
        <f>IF(59&lt;=Inputs!$B$3,59,"")</f>
        <v/>
      </c>
      <c r="B265" s="49" t="str">
        <f t="shared" si="15"/>
        <v/>
      </c>
      <c r="C265" s="49" t="str">
        <f>IF($A265="","",Inputs!$B$4*12*(1+Inputs!$B$10/100)^($A265-1))</f>
        <v/>
      </c>
      <c r="D265" s="49" t="str">
        <f>IF($A265="","",B265*(Inputs!$B$5/100))</f>
        <v/>
      </c>
      <c r="E265" s="49" t="str">
        <f>IF($A265="","",IFERROR(IF(OR(Inputs!$B$8&lt;=0,Inputs!$B$8=""),0,IF(AND($A265&gt;=Inputs!$B$8,MOD($A265,Inputs!$B$8)=0),Inputs!$B$7*(1+Inputs!$B$6/100)^$A265,0)),0))</f>
        <v/>
      </c>
      <c r="F265" s="49" t="str">
        <f t="shared" si="13"/>
        <v/>
      </c>
      <c r="G265" s="49">
        <f t="shared" si="14"/>
        <v>0</v>
      </c>
    </row>
    <row r="266" spans="1:7" ht="15" customHeight="1" x14ac:dyDescent="0.25">
      <c r="A266" s="49" t="str">
        <f>IF(60&lt;=Inputs!$B$3,60,"")</f>
        <v/>
      </c>
      <c r="B266" s="49" t="str">
        <f t="shared" si="15"/>
        <v/>
      </c>
      <c r="C266" s="49" t="str">
        <f>IF($A266="","",Inputs!$B$4*12*(1+Inputs!$B$10/100)^($A266-1))</f>
        <v/>
      </c>
      <c r="D266" s="49" t="str">
        <f>IF($A266="","",B266*(Inputs!$B$5/100))</f>
        <v/>
      </c>
      <c r="E266" s="49" t="str">
        <f>IF($A266="","",IFERROR(IF(OR(Inputs!$B$8&lt;=0,Inputs!$B$8=""),0,IF(AND($A266&gt;=Inputs!$B$8,MOD($A266,Inputs!$B$8)=0),Inputs!$B$7*(1+Inputs!$B$6/100)^$A266,0)),0))</f>
        <v/>
      </c>
      <c r="F266" s="49" t="str">
        <f t="shared" si="13"/>
        <v/>
      </c>
      <c r="G266" s="49">
        <f t="shared" si="14"/>
        <v>0</v>
      </c>
    </row>
    <row r="267" spans="1:7" ht="15" customHeight="1" x14ac:dyDescent="0.25">
      <c r="A267" s="49" t="str">
        <f>IF(61&lt;=Inputs!$B$3,61,"")</f>
        <v/>
      </c>
      <c r="B267" s="49" t="str">
        <f t="shared" si="15"/>
        <v/>
      </c>
      <c r="C267" s="49" t="str">
        <f>IF($A267="","",Inputs!$B$4*12*(1+Inputs!$B$10/100)^($A267-1))</f>
        <v/>
      </c>
      <c r="D267" s="49" t="str">
        <f>IF($A267="","",B267*(Inputs!$B$5/100))</f>
        <v/>
      </c>
      <c r="E267" s="49" t="str">
        <f>IF($A267="","",IFERROR(IF(OR(Inputs!$B$8&lt;=0,Inputs!$B$8=""),0,IF(AND($A267&gt;=Inputs!$B$8,MOD($A267,Inputs!$B$8)=0),Inputs!$B$7*(1+Inputs!$B$6/100)^$A267,0)),0))</f>
        <v/>
      </c>
      <c r="F267" s="49" t="str">
        <f t="shared" si="13"/>
        <v/>
      </c>
      <c r="G267" s="49">
        <f t="shared" si="14"/>
        <v>0</v>
      </c>
    </row>
    <row r="268" spans="1:7" ht="15" customHeight="1" x14ac:dyDescent="0.25">
      <c r="A268" s="49" t="str">
        <f>IF(62&lt;=Inputs!$B$3,62,"")</f>
        <v/>
      </c>
      <c r="B268" s="49" t="str">
        <f t="shared" si="15"/>
        <v/>
      </c>
      <c r="C268" s="49" t="str">
        <f>IF($A268="","",Inputs!$B$4*12*(1+Inputs!$B$10/100)^($A268-1))</f>
        <v/>
      </c>
      <c r="D268" s="49" t="str">
        <f>IF($A268="","",B268*(Inputs!$B$5/100))</f>
        <v/>
      </c>
      <c r="E268" s="49" t="str">
        <f>IF($A268="","",IFERROR(IF(OR(Inputs!$B$8&lt;=0,Inputs!$B$8=""),0,IF(AND($A268&gt;=Inputs!$B$8,MOD($A268,Inputs!$B$8)=0),Inputs!$B$7*(1+Inputs!$B$6/100)^$A268,0)),0))</f>
        <v/>
      </c>
      <c r="F268" s="49" t="str">
        <f t="shared" si="13"/>
        <v/>
      </c>
      <c r="G268" s="49">
        <f t="shared" si="14"/>
        <v>0</v>
      </c>
    </row>
    <row r="269" spans="1:7" ht="15" customHeight="1" x14ac:dyDescent="0.25">
      <c r="A269" s="49" t="str">
        <f>IF(63&lt;=Inputs!$B$3,63,"")</f>
        <v/>
      </c>
      <c r="B269" s="49" t="str">
        <f t="shared" si="15"/>
        <v/>
      </c>
      <c r="C269" s="49" t="str">
        <f>IF($A269="","",Inputs!$B$4*12*(1+Inputs!$B$10/100)^($A269-1))</f>
        <v/>
      </c>
      <c r="D269" s="49" t="str">
        <f>IF($A269="","",B269*(Inputs!$B$5/100))</f>
        <v/>
      </c>
      <c r="E269" s="49" t="str">
        <f>IF($A269="","",IFERROR(IF(OR(Inputs!$B$8&lt;=0,Inputs!$B$8=""),0,IF(AND($A269&gt;=Inputs!$B$8,MOD($A269,Inputs!$B$8)=0),Inputs!$B$7*(1+Inputs!$B$6/100)^$A269,0)),0))</f>
        <v/>
      </c>
      <c r="F269" s="49" t="str">
        <f t="shared" si="13"/>
        <v/>
      </c>
      <c r="G269" s="49">
        <f t="shared" si="14"/>
        <v>0</v>
      </c>
    </row>
    <row r="270" spans="1:7" ht="15" customHeight="1" x14ac:dyDescent="0.25">
      <c r="A270" s="49" t="str">
        <f>IF(64&lt;=Inputs!$B$3,64,"")</f>
        <v/>
      </c>
      <c r="B270" s="49" t="str">
        <f t="shared" si="15"/>
        <v/>
      </c>
      <c r="C270" s="49" t="str">
        <f>IF($A270="","",Inputs!$B$4*12*(1+Inputs!$B$10/100)^($A270-1))</f>
        <v/>
      </c>
      <c r="D270" s="49" t="str">
        <f>IF($A270="","",B270*(Inputs!$B$5/100))</f>
        <v/>
      </c>
      <c r="E270" s="49" t="str">
        <f>IF($A270="","",IFERROR(IF(OR(Inputs!$B$8&lt;=0,Inputs!$B$8=""),0,IF(AND($A270&gt;=Inputs!$B$8,MOD($A270,Inputs!$B$8)=0),Inputs!$B$7*(1+Inputs!$B$6/100)^$A270,0)),0))</f>
        <v/>
      </c>
      <c r="F270" s="49" t="str">
        <f t="shared" si="13"/>
        <v/>
      </c>
      <c r="G270" s="49">
        <f t="shared" si="14"/>
        <v>0</v>
      </c>
    </row>
    <row r="271" spans="1:7" ht="15" customHeight="1" x14ac:dyDescent="0.25">
      <c r="A271" s="49" t="str">
        <f>IF(65&lt;=Inputs!$B$3,65,"")</f>
        <v/>
      </c>
      <c r="B271" s="49" t="str">
        <f t="shared" si="15"/>
        <v/>
      </c>
      <c r="C271" s="49" t="str">
        <f>IF($A271="","",Inputs!$B$4*12*(1+Inputs!$B$10/100)^($A271-1))</f>
        <v/>
      </c>
      <c r="D271" s="49" t="str">
        <f>IF($A271="","",B271*(Inputs!$B$5/100))</f>
        <v/>
      </c>
      <c r="E271" s="49" t="str">
        <f>IF($A271="","",IFERROR(IF(OR(Inputs!$B$8&lt;=0,Inputs!$B$8=""),0,IF(AND($A271&gt;=Inputs!$B$8,MOD($A271,Inputs!$B$8)=0),Inputs!$B$7*(1+Inputs!$B$6/100)^$A271,0)),0))</f>
        <v/>
      </c>
      <c r="F271" s="49" t="str">
        <f t="shared" ref="F271:F302" si="16">IF($A271="","",B271+C271+D271-E271)</f>
        <v/>
      </c>
      <c r="G271" s="49">
        <f t="shared" ref="G271:G306" si="17">IF($A271="",0,IF(D271&gt;C271,1,0))</f>
        <v>0</v>
      </c>
    </row>
    <row r="272" spans="1:7" ht="15" customHeight="1" x14ac:dyDescent="0.25">
      <c r="A272" s="49" t="str">
        <f>IF(66&lt;=Inputs!$B$3,66,"")</f>
        <v/>
      </c>
      <c r="B272" s="49" t="str">
        <f t="shared" ref="B272:B306" si="18">IF($A272="","",F271)</f>
        <v/>
      </c>
      <c r="C272" s="49" t="str">
        <f>IF($A272="","",Inputs!$B$4*12*(1+Inputs!$B$10/100)^($A272-1))</f>
        <v/>
      </c>
      <c r="D272" s="49" t="str">
        <f>IF($A272="","",B272*(Inputs!$B$5/100))</f>
        <v/>
      </c>
      <c r="E272" s="49" t="str">
        <f>IF($A272="","",IFERROR(IF(OR(Inputs!$B$8&lt;=0,Inputs!$B$8=""),0,IF(AND($A272&gt;=Inputs!$B$8,MOD($A272,Inputs!$B$8)=0),Inputs!$B$7*(1+Inputs!$B$6/100)^$A272,0)),0))</f>
        <v/>
      </c>
      <c r="F272" s="49" t="str">
        <f t="shared" si="16"/>
        <v/>
      </c>
      <c r="G272" s="49">
        <f t="shared" si="17"/>
        <v>0</v>
      </c>
    </row>
    <row r="273" spans="1:7" ht="15" customHeight="1" x14ac:dyDescent="0.25">
      <c r="A273" s="49" t="str">
        <f>IF(67&lt;=Inputs!$B$3,67,"")</f>
        <v/>
      </c>
      <c r="B273" s="49" t="str">
        <f t="shared" si="18"/>
        <v/>
      </c>
      <c r="C273" s="49" t="str">
        <f>IF($A273="","",Inputs!$B$4*12*(1+Inputs!$B$10/100)^($A273-1))</f>
        <v/>
      </c>
      <c r="D273" s="49" t="str">
        <f>IF($A273="","",B273*(Inputs!$B$5/100))</f>
        <v/>
      </c>
      <c r="E273" s="49" t="str">
        <f>IF($A273="","",IFERROR(IF(OR(Inputs!$B$8&lt;=0,Inputs!$B$8=""),0,IF(AND($A273&gt;=Inputs!$B$8,MOD($A273,Inputs!$B$8)=0),Inputs!$B$7*(1+Inputs!$B$6/100)^$A273,0)),0))</f>
        <v/>
      </c>
      <c r="F273" s="49" t="str">
        <f t="shared" si="16"/>
        <v/>
      </c>
      <c r="G273" s="49">
        <f t="shared" si="17"/>
        <v>0</v>
      </c>
    </row>
    <row r="274" spans="1:7" ht="15" customHeight="1" x14ac:dyDescent="0.25">
      <c r="A274" s="49" t="str">
        <f>IF(68&lt;=Inputs!$B$3,68,"")</f>
        <v/>
      </c>
      <c r="B274" s="49" t="str">
        <f t="shared" si="18"/>
        <v/>
      </c>
      <c r="C274" s="49" t="str">
        <f>IF($A274="","",Inputs!$B$4*12*(1+Inputs!$B$10/100)^($A274-1))</f>
        <v/>
      </c>
      <c r="D274" s="49" t="str">
        <f>IF($A274="","",B274*(Inputs!$B$5/100))</f>
        <v/>
      </c>
      <c r="E274" s="49" t="str">
        <f>IF($A274="","",IFERROR(IF(OR(Inputs!$B$8&lt;=0,Inputs!$B$8=""),0,IF(AND($A274&gt;=Inputs!$B$8,MOD($A274,Inputs!$B$8)=0),Inputs!$B$7*(1+Inputs!$B$6/100)^$A274,0)),0))</f>
        <v/>
      </c>
      <c r="F274" s="49" t="str">
        <f t="shared" si="16"/>
        <v/>
      </c>
      <c r="G274" s="49">
        <f t="shared" si="17"/>
        <v>0</v>
      </c>
    </row>
    <row r="275" spans="1:7" ht="15" customHeight="1" x14ac:dyDescent="0.25">
      <c r="A275" s="49" t="str">
        <f>IF(69&lt;=Inputs!$B$3,69,"")</f>
        <v/>
      </c>
      <c r="B275" s="49" t="str">
        <f t="shared" si="18"/>
        <v/>
      </c>
      <c r="C275" s="49" t="str">
        <f>IF($A275="","",Inputs!$B$4*12*(1+Inputs!$B$10/100)^($A275-1))</f>
        <v/>
      </c>
      <c r="D275" s="49" t="str">
        <f>IF($A275="","",B275*(Inputs!$B$5/100))</f>
        <v/>
      </c>
      <c r="E275" s="49" t="str">
        <f>IF($A275="","",IFERROR(IF(OR(Inputs!$B$8&lt;=0,Inputs!$B$8=""),0,IF(AND($A275&gt;=Inputs!$B$8,MOD($A275,Inputs!$B$8)=0),Inputs!$B$7*(1+Inputs!$B$6/100)^$A275,0)),0))</f>
        <v/>
      </c>
      <c r="F275" s="49" t="str">
        <f t="shared" si="16"/>
        <v/>
      </c>
      <c r="G275" s="49">
        <f t="shared" si="17"/>
        <v>0</v>
      </c>
    </row>
    <row r="276" spans="1:7" ht="15" customHeight="1" x14ac:dyDescent="0.25">
      <c r="A276" s="49" t="str">
        <f>IF(70&lt;=Inputs!$B$3,70,"")</f>
        <v/>
      </c>
      <c r="B276" s="49" t="str">
        <f t="shared" si="18"/>
        <v/>
      </c>
      <c r="C276" s="49" t="str">
        <f>IF($A276="","",Inputs!$B$4*12*(1+Inputs!$B$10/100)^($A276-1))</f>
        <v/>
      </c>
      <c r="D276" s="49" t="str">
        <f>IF($A276="","",B276*(Inputs!$B$5/100))</f>
        <v/>
      </c>
      <c r="E276" s="49" t="str">
        <f>IF($A276="","",IFERROR(IF(OR(Inputs!$B$8&lt;=0,Inputs!$B$8=""),0,IF(AND($A276&gt;=Inputs!$B$8,MOD($A276,Inputs!$B$8)=0),Inputs!$B$7*(1+Inputs!$B$6/100)^$A276,0)),0))</f>
        <v/>
      </c>
      <c r="F276" s="49" t="str">
        <f t="shared" si="16"/>
        <v/>
      </c>
      <c r="G276" s="49">
        <f t="shared" si="17"/>
        <v>0</v>
      </c>
    </row>
    <row r="277" spans="1:7" ht="15" customHeight="1" x14ac:dyDescent="0.25">
      <c r="A277" s="49" t="str">
        <f>IF(71&lt;=Inputs!$B$3,71,"")</f>
        <v/>
      </c>
      <c r="B277" s="49" t="str">
        <f t="shared" si="18"/>
        <v/>
      </c>
      <c r="C277" s="49" t="str">
        <f>IF($A277="","",Inputs!$B$4*12*(1+Inputs!$B$10/100)^($A277-1))</f>
        <v/>
      </c>
      <c r="D277" s="49" t="str">
        <f>IF($A277="","",B277*(Inputs!$B$5/100))</f>
        <v/>
      </c>
      <c r="E277" s="49" t="str">
        <f>IF($A277="","",IFERROR(IF(OR(Inputs!$B$8&lt;=0,Inputs!$B$8=""),0,IF(AND($A277&gt;=Inputs!$B$8,MOD($A277,Inputs!$B$8)=0),Inputs!$B$7*(1+Inputs!$B$6/100)^$A277,0)),0))</f>
        <v/>
      </c>
      <c r="F277" s="49" t="str">
        <f t="shared" si="16"/>
        <v/>
      </c>
      <c r="G277" s="49">
        <f t="shared" si="17"/>
        <v>0</v>
      </c>
    </row>
    <row r="278" spans="1:7" ht="15" customHeight="1" x14ac:dyDescent="0.25">
      <c r="A278" s="49" t="str">
        <f>IF(72&lt;=Inputs!$B$3,72,"")</f>
        <v/>
      </c>
      <c r="B278" s="49" t="str">
        <f t="shared" si="18"/>
        <v/>
      </c>
      <c r="C278" s="49" t="str">
        <f>IF($A278="","",Inputs!$B$4*12*(1+Inputs!$B$10/100)^($A278-1))</f>
        <v/>
      </c>
      <c r="D278" s="49" t="str">
        <f>IF($A278="","",B278*(Inputs!$B$5/100))</f>
        <v/>
      </c>
      <c r="E278" s="49" t="str">
        <f>IF($A278="","",IFERROR(IF(OR(Inputs!$B$8&lt;=0,Inputs!$B$8=""),0,IF(AND($A278&gt;=Inputs!$B$8,MOD($A278,Inputs!$B$8)=0),Inputs!$B$7*(1+Inputs!$B$6/100)^$A278,0)),0))</f>
        <v/>
      </c>
      <c r="F278" s="49" t="str">
        <f t="shared" si="16"/>
        <v/>
      </c>
      <c r="G278" s="49">
        <f t="shared" si="17"/>
        <v>0</v>
      </c>
    </row>
    <row r="279" spans="1:7" ht="15" customHeight="1" x14ac:dyDescent="0.25">
      <c r="A279" s="49" t="str">
        <f>IF(73&lt;=Inputs!$B$3,73,"")</f>
        <v/>
      </c>
      <c r="B279" s="49" t="str">
        <f t="shared" si="18"/>
        <v/>
      </c>
      <c r="C279" s="49" t="str">
        <f>IF($A279="","",Inputs!$B$4*12*(1+Inputs!$B$10/100)^($A279-1))</f>
        <v/>
      </c>
      <c r="D279" s="49" t="str">
        <f>IF($A279="","",B279*(Inputs!$B$5/100))</f>
        <v/>
      </c>
      <c r="E279" s="49" t="str">
        <f>IF($A279="","",IFERROR(IF(OR(Inputs!$B$8&lt;=0,Inputs!$B$8=""),0,IF(AND($A279&gt;=Inputs!$B$8,MOD($A279,Inputs!$B$8)=0),Inputs!$B$7*(1+Inputs!$B$6/100)^$A279,0)),0))</f>
        <v/>
      </c>
      <c r="F279" s="49" t="str">
        <f t="shared" si="16"/>
        <v/>
      </c>
      <c r="G279" s="49">
        <f t="shared" si="17"/>
        <v>0</v>
      </c>
    </row>
    <row r="280" spans="1:7" ht="15" customHeight="1" x14ac:dyDescent="0.25">
      <c r="A280" s="49" t="str">
        <f>IF(74&lt;=Inputs!$B$3,74,"")</f>
        <v/>
      </c>
      <c r="B280" s="49" t="str">
        <f t="shared" si="18"/>
        <v/>
      </c>
      <c r="C280" s="49" t="str">
        <f>IF($A280="","",Inputs!$B$4*12*(1+Inputs!$B$10/100)^($A280-1))</f>
        <v/>
      </c>
      <c r="D280" s="49" t="str">
        <f>IF($A280="","",B280*(Inputs!$B$5/100))</f>
        <v/>
      </c>
      <c r="E280" s="49" t="str">
        <f>IF($A280="","",IFERROR(IF(OR(Inputs!$B$8&lt;=0,Inputs!$B$8=""),0,IF(AND($A280&gt;=Inputs!$B$8,MOD($A280,Inputs!$B$8)=0),Inputs!$B$7*(1+Inputs!$B$6/100)^$A280,0)),0))</f>
        <v/>
      </c>
      <c r="F280" s="49" t="str">
        <f t="shared" si="16"/>
        <v/>
      </c>
      <c r="G280" s="49">
        <f t="shared" si="17"/>
        <v>0</v>
      </c>
    </row>
    <row r="281" spans="1:7" ht="15" customHeight="1" x14ac:dyDescent="0.25">
      <c r="A281" s="49" t="str">
        <f>IF(75&lt;=Inputs!$B$3,75,"")</f>
        <v/>
      </c>
      <c r="B281" s="49" t="str">
        <f t="shared" si="18"/>
        <v/>
      </c>
      <c r="C281" s="49" t="str">
        <f>IF($A281="","",Inputs!$B$4*12*(1+Inputs!$B$10/100)^($A281-1))</f>
        <v/>
      </c>
      <c r="D281" s="49" t="str">
        <f>IF($A281="","",B281*(Inputs!$B$5/100))</f>
        <v/>
      </c>
      <c r="E281" s="49" t="str">
        <f>IF($A281="","",IFERROR(IF(OR(Inputs!$B$8&lt;=0,Inputs!$B$8=""),0,IF(AND($A281&gt;=Inputs!$B$8,MOD($A281,Inputs!$B$8)=0),Inputs!$B$7*(1+Inputs!$B$6/100)^$A281,0)),0))</f>
        <v/>
      </c>
      <c r="F281" s="49" t="str">
        <f t="shared" si="16"/>
        <v/>
      </c>
      <c r="G281" s="49">
        <f t="shared" si="17"/>
        <v>0</v>
      </c>
    </row>
    <row r="282" spans="1:7" ht="15" customHeight="1" x14ac:dyDescent="0.25">
      <c r="A282" s="49" t="str">
        <f>IF(76&lt;=Inputs!$B$3,76,"")</f>
        <v/>
      </c>
      <c r="B282" s="49" t="str">
        <f t="shared" si="18"/>
        <v/>
      </c>
      <c r="C282" s="49" t="str">
        <f>IF($A282="","",Inputs!$B$4*12*(1+Inputs!$B$10/100)^($A282-1))</f>
        <v/>
      </c>
      <c r="D282" s="49" t="str">
        <f>IF($A282="","",B282*(Inputs!$B$5/100))</f>
        <v/>
      </c>
      <c r="E282" s="49" t="str">
        <f>IF($A282="","",IFERROR(IF(OR(Inputs!$B$8&lt;=0,Inputs!$B$8=""),0,IF(AND($A282&gt;=Inputs!$B$8,MOD($A282,Inputs!$B$8)=0),Inputs!$B$7*(1+Inputs!$B$6/100)^$A282,0)),0))</f>
        <v/>
      </c>
      <c r="F282" s="49" t="str">
        <f t="shared" si="16"/>
        <v/>
      </c>
      <c r="G282" s="49">
        <f t="shared" si="17"/>
        <v>0</v>
      </c>
    </row>
    <row r="283" spans="1:7" ht="15" customHeight="1" x14ac:dyDescent="0.25">
      <c r="A283" s="49" t="str">
        <f>IF(77&lt;=Inputs!$B$3,77,"")</f>
        <v/>
      </c>
      <c r="B283" s="49" t="str">
        <f t="shared" si="18"/>
        <v/>
      </c>
      <c r="C283" s="49" t="str">
        <f>IF($A283="","",Inputs!$B$4*12*(1+Inputs!$B$10/100)^($A283-1))</f>
        <v/>
      </c>
      <c r="D283" s="49" t="str">
        <f>IF($A283="","",B283*(Inputs!$B$5/100))</f>
        <v/>
      </c>
      <c r="E283" s="49" t="str">
        <f>IF($A283="","",IFERROR(IF(OR(Inputs!$B$8&lt;=0,Inputs!$B$8=""),0,IF(AND($A283&gt;=Inputs!$B$8,MOD($A283,Inputs!$B$8)=0),Inputs!$B$7*(1+Inputs!$B$6/100)^$A283,0)),0))</f>
        <v/>
      </c>
      <c r="F283" s="49" t="str">
        <f t="shared" si="16"/>
        <v/>
      </c>
      <c r="G283" s="49">
        <f t="shared" si="17"/>
        <v>0</v>
      </c>
    </row>
    <row r="284" spans="1:7" ht="15" customHeight="1" x14ac:dyDescent="0.25">
      <c r="A284" s="49" t="str">
        <f>IF(78&lt;=Inputs!$B$3,78,"")</f>
        <v/>
      </c>
      <c r="B284" s="49" t="str">
        <f t="shared" si="18"/>
        <v/>
      </c>
      <c r="C284" s="49" t="str">
        <f>IF($A284="","",Inputs!$B$4*12*(1+Inputs!$B$10/100)^($A284-1))</f>
        <v/>
      </c>
      <c r="D284" s="49" t="str">
        <f>IF($A284="","",B284*(Inputs!$B$5/100))</f>
        <v/>
      </c>
      <c r="E284" s="49" t="str">
        <f>IF($A284="","",IFERROR(IF(OR(Inputs!$B$8&lt;=0,Inputs!$B$8=""),0,IF(AND($A284&gt;=Inputs!$B$8,MOD($A284,Inputs!$B$8)=0),Inputs!$B$7*(1+Inputs!$B$6/100)^$A284,0)),0))</f>
        <v/>
      </c>
      <c r="F284" s="49" t="str">
        <f t="shared" si="16"/>
        <v/>
      </c>
      <c r="G284" s="49">
        <f t="shared" si="17"/>
        <v>0</v>
      </c>
    </row>
    <row r="285" spans="1:7" ht="15" customHeight="1" x14ac:dyDescent="0.25">
      <c r="A285" s="49" t="str">
        <f>IF(79&lt;=Inputs!$B$3,79,"")</f>
        <v/>
      </c>
      <c r="B285" s="49" t="str">
        <f t="shared" si="18"/>
        <v/>
      </c>
      <c r="C285" s="49" t="str">
        <f>IF($A285="","",Inputs!$B$4*12*(1+Inputs!$B$10/100)^($A285-1))</f>
        <v/>
      </c>
      <c r="D285" s="49" t="str">
        <f>IF($A285="","",B285*(Inputs!$B$5/100))</f>
        <v/>
      </c>
      <c r="E285" s="49" t="str">
        <f>IF($A285="","",IFERROR(IF(OR(Inputs!$B$8&lt;=0,Inputs!$B$8=""),0,IF(AND($A285&gt;=Inputs!$B$8,MOD($A285,Inputs!$B$8)=0),Inputs!$B$7*(1+Inputs!$B$6/100)^$A285,0)),0))</f>
        <v/>
      </c>
      <c r="F285" s="49" t="str">
        <f t="shared" si="16"/>
        <v/>
      </c>
      <c r="G285" s="49">
        <f t="shared" si="17"/>
        <v>0</v>
      </c>
    </row>
    <row r="286" spans="1:7" ht="15" customHeight="1" x14ac:dyDescent="0.25">
      <c r="A286" s="49" t="str">
        <f>IF(80&lt;=Inputs!$B$3,80,"")</f>
        <v/>
      </c>
      <c r="B286" s="49" t="str">
        <f t="shared" si="18"/>
        <v/>
      </c>
      <c r="C286" s="49" t="str">
        <f>IF($A286="","",Inputs!$B$4*12*(1+Inputs!$B$10/100)^($A286-1))</f>
        <v/>
      </c>
      <c r="D286" s="49" t="str">
        <f>IF($A286="","",B286*(Inputs!$B$5/100))</f>
        <v/>
      </c>
      <c r="E286" s="49" t="str">
        <f>IF($A286="","",IFERROR(IF(OR(Inputs!$B$8&lt;=0,Inputs!$B$8=""),0,IF(AND($A286&gt;=Inputs!$B$8,MOD($A286,Inputs!$B$8)=0),Inputs!$B$7*(1+Inputs!$B$6/100)^$A286,0)),0))</f>
        <v/>
      </c>
      <c r="F286" s="49" t="str">
        <f t="shared" si="16"/>
        <v/>
      </c>
      <c r="G286" s="49">
        <f t="shared" si="17"/>
        <v>0</v>
      </c>
    </row>
    <row r="287" spans="1:7" ht="15" customHeight="1" x14ac:dyDescent="0.25">
      <c r="A287" s="49" t="str">
        <f>IF(81&lt;=Inputs!$B$3,81,"")</f>
        <v/>
      </c>
      <c r="B287" s="49" t="str">
        <f t="shared" si="18"/>
        <v/>
      </c>
      <c r="C287" s="49" t="str">
        <f>IF($A287="","",Inputs!$B$4*12*(1+Inputs!$B$10/100)^($A287-1))</f>
        <v/>
      </c>
      <c r="D287" s="49" t="str">
        <f>IF($A287="","",B287*(Inputs!$B$5/100))</f>
        <v/>
      </c>
      <c r="E287" s="49" t="str">
        <f>IF($A287="","",IFERROR(IF(OR(Inputs!$B$8&lt;=0,Inputs!$B$8=""),0,IF(AND($A287&gt;=Inputs!$B$8,MOD($A287,Inputs!$B$8)=0),Inputs!$B$7*(1+Inputs!$B$6/100)^$A287,0)),0))</f>
        <v/>
      </c>
      <c r="F287" s="49" t="str">
        <f t="shared" si="16"/>
        <v/>
      </c>
      <c r="G287" s="49">
        <f t="shared" si="17"/>
        <v>0</v>
      </c>
    </row>
    <row r="288" spans="1:7" ht="15" customHeight="1" x14ac:dyDescent="0.25">
      <c r="A288" s="49" t="str">
        <f>IF(82&lt;=Inputs!$B$3,82,"")</f>
        <v/>
      </c>
      <c r="B288" s="49" t="str">
        <f t="shared" si="18"/>
        <v/>
      </c>
      <c r="C288" s="49" t="str">
        <f>IF($A288="","",Inputs!$B$4*12*(1+Inputs!$B$10/100)^($A288-1))</f>
        <v/>
      </c>
      <c r="D288" s="49" t="str">
        <f>IF($A288="","",B288*(Inputs!$B$5/100))</f>
        <v/>
      </c>
      <c r="E288" s="49" t="str">
        <f>IF($A288="","",IFERROR(IF(OR(Inputs!$B$8&lt;=0,Inputs!$B$8=""),0,IF(AND($A288&gt;=Inputs!$B$8,MOD($A288,Inputs!$B$8)=0),Inputs!$B$7*(1+Inputs!$B$6/100)^$A288,0)),0))</f>
        <v/>
      </c>
      <c r="F288" s="49" t="str">
        <f t="shared" si="16"/>
        <v/>
      </c>
      <c r="G288" s="49">
        <f t="shared" si="17"/>
        <v>0</v>
      </c>
    </row>
    <row r="289" spans="1:7" ht="15" customHeight="1" x14ac:dyDescent="0.25">
      <c r="A289" s="49" t="str">
        <f>IF(83&lt;=Inputs!$B$3,83,"")</f>
        <v/>
      </c>
      <c r="B289" s="49" t="str">
        <f t="shared" si="18"/>
        <v/>
      </c>
      <c r="C289" s="49" t="str">
        <f>IF($A289="","",Inputs!$B$4*12*(1+Inputs!$B$10/100)^($A289-1))</f>
        <v/>
      </c>
      <c r="D289" s="49" t="str">
        <f>IF($A289="","",B289*(Inputs!$B$5/100))</f>
        <v/>
      </c>
      <c r="E289" s="49" t="str">
        <f>IF($A289="","",IFERROR(IF(OR(Inputs!$B$8&lt;=0,Inputs!$B$8=""),0,IF(AND($A289&gt;=Inputs!$B$8,MOD($A289,Inputs!$B$8)=0),Inputs!$B$7*(1+Inputs!$B$6/100)^$A289,0)),0))</f>
        <v/>
      </c>
      <c r="F289" s="49" t="str">
        <f t="shared" si="16"/>
        <v/>
      </c>
      <c r="G289" s="49">
        <f t="shared" si="17"/>
        <v>0</v>
      </c>
    </row>
    <row r="290" spans="1:7" ht="15" customHeight="1" x14ac:dyDescent="0.25">
      <c r="A290" s="49" t="str">
        <f>IF(84&lt;=Inputs!$B$3,84,"")</f>
        <v/>
      </c>
      <c r="B290" s="49" t="str">
        <f t="shared" si="18"/>
        <v/>
      </c>
      <c r="C290" s="49" t="str">
        <f>IF($A290="","",Inputs!$B$4*12*(1+Inputs!$B$10/100)^($A290-1))</f>
        <v/>
      </c>
      <c r="D290" s="49" t="str">
        <f>IF($A290="","",B290*(Inputs!$B$5/100))</f>
        <v/>
      </c>
      <c r="E290" s="49" t="str">
        <f>IF($A290="","",IFERROR(IF(OR(Inputs!$B$8&lt;=0,Inputs!$B$8=""),0,IF(AND($A290&gt;=Inputs!$B$8,MOD($A290,Inputs!$B$8)=0),Inputs!$B$7*(1+Inputs!$B$6/100)^$A290,0)),0))</f>
        <v/>
      </c>
      <c r="F290" s="49" t="str">
        <f t="shared" si="16"/>
        <v/>
      </c>
      <c r="G290" s="49">
        <f t="shared" si="17"/>
        <v>0</v>
      </c>
    </row>
    <row r="291" spans="1:7" ht="15" customHeight="1" x14ac:dyDescent="0.25">
      <c r="A291" s="49" t="str">
        <f>IF(85&lt;=Inputs!$B$3,85,"")</f>
        <v/>
      </c>
      <c r="B291" s="49" t="str">
        <f t="shared" si="18"/>
        <v/>
      </c>
      <c r="C291" s="49" t="str">
        <f>IF($A291="","",Inputs!$B$4*12*(1+Inputs!$B$10/100)^($A291-1))</f>
        <v/>
      </c>
      <c r="D291" s="49" t="str">
        <f>IF($A291="","",B291*(Inputs!$B$5/100))</f>
        <v/>
      </c>
      <c r="E291" s="49" t="str">
        <f>IF($A291="","",IFERROR(IF(OR(Inputs!$B$8&lt;=0,Inputs!$B$8=""),0,IF(AND($A291&gt;=Inputs!$B$8,MOD($A291,Inputs!$B$8)=0),Inputs!$B$7*(1+Inputs!$B$6/100)^$A291,0)),0))</f>
        <v/>
      </c>
      <c r="F291" s="49" t="str">
        <f t="shared" si="16"/>
        <v/>
      </c>
      <c r="G291" s="49">
        <f t="shared" si="17"/>
        <v>0</v>
      </c>
    </row>
    <row r="292" spans="1:7" ht="15" customHeight="1" x14ac:dyDescent="0.25">
      <c r="A292" s="49" t="str">
        <f>IF(86&lt;=Inputs!$B$3,86,"")</f>
        <v/>
      </c>
      <c r="B292" s="49" t="str">
        <f t="shared" si="18"/>
        <v/>
      </c>
      <c r="C292" s="49" t="str">
        <f>IF($A292="","",Inputs!$B$4*12*(1+Inputs!$B$10/100)^($A292-1))</f>
        <v/>
      </c>
      <c r="D292" s="49" t="str">
        <f>IF($A292="","",B292*(Inputs!$B$5/100))</f>
        <v/>
      </c>
      <c r="E292" s="49" t="str">
        <f>IF($A292="","",IFERROR(IF(OR(Inputs!$B$8&lt;=0,Inputs!$B$8=""),0,IF(AND($A292&gt;=Inputs!$B$8,MOD($A292,Inputs!$B$8)=0),Inputs!$B$7*(1+Inputs!$B$6/100)^$A292,0)),0))</f>
        <v/>
      </c>
      <c r="F292" s="49" t="str">
        <f t="shared" si="16"/>
        <v/>
      </c>
      <c r="G292" s="49">
        <f t="shared" si="17"/>
        <v>0</v>
      </c>
    </row>
    <row r="293" spans="1:7" ht="15" customHeight="1" x14ac:dyDescent="0.25">
      <c r="A293" s="49" t="str">
        <f>IF(87&lt;=Inputs!$B$3,87,"")</f>
        <v/>
      </c>
      <c r="B293" s="49" t="str">
        <f t="shared" si="18"/>
        <v/>
      </c>
      <c r="C293" s="49" t="str">
        <f>IF($A293="","",Inputs!$B$4*12*(1+Inputs!$B$10/100)^($A293-1))</f>
        <v/>
      </c>
      <c r="D293" s="49" t="str">
        <f>IF($A293="","",B293*(Inputs!$B$5/100))</f>
        <v/>
      </c>
      <c r="E293" s="49" t="str">
        <f>IF($A293="","",IFERROR(IF(OR(Inputs!$B$8&lt;=0,Inputs!$B$8=""),0,IF(AND($A293&gt;=Inputs!$B$8,MOD($A293,Inputs!$B$8)=0),Inputs!$B$7*(1+Inputs!$B$6/100)^$A293,0)),0))</f>
        <v/>
      </c>
      <c r="F293" s="49" t="str">
        <f t="shared" si="16"/>
        <v/>
      </c>
      <c r="G293" s="49">
        <f t="shared" si="17"/>
        <v>0</v>
      </c>
    </row>
    <row r="294" spans="1:7" ht="15" customHeight="1" x14ac:dyDescent="0.25">
      <c r="A294" s="49" t="str">
        <f>IF(88&lt;=Inputs!$B$3,88,"")</f>
        <v/>
      </c>
      <c r="B294" s="49" t="str">
        <f t="shared" si="18"/>
        <v/>
      </c>
      <c r="C294" s="49" t="str">
        <f>IF($A294="","",Inputs!$B$4*12*(1+Inputs!$B$10/100)^($A294-1))</f>
        <v/>
      </c>
      <c r="D294" s="49" t="str">
        <f>IF($A294="","",B294*(Inputs!$B$5/100))</f>
        <v/>
      </c>
      <c r="E294" s="49" t="str">
        <f>IF($A294="","",IFERROR(IF(OR(Inputs!$B$8&lt;=0,Inputs!$B$8=""),0,IF(AND($A294&gt;=Inputs!$B$8,MOD($A294,Inputs!$B$8)=0),Inputs!$B$7*(1+Inputs!$B$6/100)^$A294,0)),0))</f>
        <v/>
      </c>
      <c r="F294" s="49" t="str">
        <f t="shared" si="16"/>
        <v/>
      </c>
      <c r="G294" s="49">
        <f t="shared" si="17"/>
        <v>0</v>
      </c>
    </row>
    <row r="295" spans="1:7" ht="15" customHeight="1" x14ac:dyDescent="0.25">
      <c r="A295" s="49" t="str">
        <f>IF(89&lt;=Inputs!$B$3,89,"")</f>
        <v/>
      </c>
      <c r="B295" s="49" t="str">
        <f t="shared" si="18"/>
        <v/>
      </c>
      <c r="C295" s="49" t="str">
        <f>IF($A295="","",Inputs!$B$4*12*(1+Inputs!$B$10/100)^($A295-1))</f>
        <v/>
      </c>
      <c r="D295" s="49" t="str">
        <f>IF($A295="","",B295*(Inputs!$B$5/100))</f>
        <v/>
      </c>
      <c r="E295" s="49" t="str">
        <f>IF($A295="","",IFERROR(IF(OR(Inputs!$B$8&lt;=0,Inputs!$B$8=""),0,IF(AND($A295&gt;=Inputs!$B$8,MOD($A295,Inputs!$B$8)=0),Inputs!$B$7*(1+Inputs!$B$6/100)^$A295,0)),0))</f>
        <v/>
      </c>
      <c r="F295" s="49" t="str">
        <f t="shared" si="16"/>
        <v/>
      </c>
      <c r="G295" s="49">
        <f t="shared" si="17"/>
        <v>0</v>
      </c>
    </row>
    <row r="296" spans="1:7" ht="15" customHeight="1" x14ac:dyDescent="0.25">
      <c r="A296" s="49" t="str">
        <f>IF(90&lt;=Inputs!$B$3,90,"")</f>
        <v/>
      </c>
      <c r="B296" s="49" t="str">
        <f t="shared" si="18"/>
        <v/>
      </c>
      <c r="C296" s="49" t="str">
        <f>IF($A296="","",Inputs!$B$4*12*(1+Inputs!$B$10/100)^($A296-1))</f>
        <v/>
      </c>
      <c r="D296" s="49" t="str">
        <f>IF($A296="","",B296*(Inputs!$B$5/100))</f>
        <v/>
      </c>
      <c r="E296" s="49" t="str">
        <f>IF($A296="","",IFERROR(IF(OR(Inputs!$B$8&lt;=0,Inputs!$B$8=""),0,IF(AND($A296&gt;=Inputs!$B$8,MOD($A296,Inputs!$B$8)=0),Inputs!$B$7*(1+Inputs!$B$6/100)^$A296,0)),0))</f>
        <v/>
      </c>
      <c r="F296" s="49" t="str">
        <f t="shared" si="16"/>
        <v/>
      </c>
      <c r="G296" s="49">
        <f t="shared" si="17"/>
        <v>0</v>
      </c>
    </row>
    <row r="297" spans="1:7" ht="15" customHeight="1" x14ac:dyDescent="0.25">
      <c r="A297" s="49" t="str">
        <f>IF(91&lt;=Inputs!$B$3,91,"")</f>
        <v/>
      </c>
      <c r="B297" s="49" t="str">
        <f t="shared" si="18"/>
        <v/>
      </c>
      <c r="C297" s="49" t="str">
        <f>IF($A297="","",Inputs!$B$4*12*(1+Inputs!$B$10/100)^($A297-1))</f>
        <v/>
      </c>
      <c r="D297" s="49" t="str">
        <f>IF($A297="","",B297*(Inputs!$B$5/100))</f>
        <v/>
      </c>
      <c r="E297" s="49" t="str">
        <f>IF($A297="","",IFERROR(IF(OR(Inputs!$B$8&lt;=0,Inputs!$B$8=""),0,IF(AND($A297&gt;=Inputs!$B$8,MOD($A297,Inputs!$B$8)=0),Inputs!$B$7*(1+Inputs!$B$6/100)^$A297,0)),0))</f>
        <v/>
      </c>
      <c r="F297" s="49" t="str">
        <f t="shared" si="16"/>
        <v/>
      </c>
      <c r="G297" s="49">
        <f t="shared" si="17"/>
        <v>0</v>
      </c>
    </row>
    <row r="298" spans="1:7" ht="15" customHeight="1" x14ac:dyDescent="0.25">
      <c r="A298" s="49" t="str">
        <f>IF(92&lt;=Inputs!$B$3,92,"")</f>
        <v/>
      </c>
      <c r="B298" s="49" t="str">
        <f t="shared" si="18"/>
        <v/>
      </c>
      <c r="C298" s="49" t="str">
        <f>IF($A298="","",Inputs!$B$4*12*(1+Inputs!$B$10/100)^($A298-1))</f>
        <v/>
      </c>
      <c r="D298" s="49" t="str">
        <f>IF($A298="","",B298*(Inputs!$B$5/100))</f>
        <v/>
      </c>
      <c r="E298" s="49" t="str">
        <f>IF($A298="","",IFERROR(IF(OR(Inputs!$B$8&lt;=0,Inputs!$B$8=""),0,IF(AND($A298&gt;=Inputs!$B$8,MOD($A298,Inputs!$B$8)=0),Inputs!$B$7*(1+Inputs!$B$6/100)^$A298,0)),0))</f>
        <v/>
      </c>
      <c r="F298" s="49" t="str">
        <f t="shared" si="16"/>
        <v/>
      </c>
      <c r="G298" s="49">
        <f t="shared" si="17"/>
        <v>0</v>
      </c>
    </row>
    <row r="299" spans="1:7" ht="15" customHeight="1" x14ac:dyDescent="0.25">
      <c r="A299" s="49" t="str">
        <f>IF(93&lt;=Inputs!$B$3,93,"")</f>
        <v/>
      </c>
      <c r="B299" s="49" t="str">
        <f t="shared" si="18"/>
        <v/>
      </c>
      <c r="C299" s="49" t="str">
        <f>IF($A299="","",Inputs!$B$4*12*(1+Inputs!$B$10/100)^($A299-1))</f>
        <v/>
      </c>
      <c r="D299" s="49" t="str">
        <f>IF($A299="","",B299*(Inputs!$B$5/100))</f>
        <v/>
      </c>
      <c r="E299" s="49" t="str">
        <f>IF($A299="","",IFERROR(IF(OR(Inputs!$B$8&lt;=0,Inputs!$B$8=""),0,IF(AND($A299&gt;=Inputs!$B$8,MOD($A299,Inputs!$B$8)=0),Inputs!$B$7*(1+Inputs!$B$6/100)^$A299,0)),0))</f>
        <v/>
      </c>
      <c r="F299" s="49" t="str">
        <f t="shared" si="16"/>
        <v/>
      </c>
      <c r="G299" s="49">
        <f t="shared" si="17"/>
        <v>0</v>
      </c>
    </row>
    <row r="300" spans="1:7" ht="15" customHeight="1" x14ac:dyDescent="0.25">
      <c r="A300" s="49" t="str">
        <f>IF(94&lt;=Inputs!$B$3,94,"")</f>
        <v/>
      </c>
      <c r="B300" s="49" t="str">
        <f t="shared" si="18"/>
        <v/>
      </c>
      <c r="C300" s="49" t="str">
        <f>IF($A300="","",Inputs!$B$4*12*(1+Inputs!$B$10/100)^($A300-1))</f>
        <v/>
      </c>
      <c r="D300" s="49" t="str">
        <f>IF($A300="","",B300*(Inputs!$B$5/100))</f>
        <v/>
      </c>
      <c r="E300" s="49" t="str">
        <f>IF($A300="","",IFERROR(IF(OR(Inputs!$B$8&lt;=0,Inputs!$B$8=""),0,IF(AND($A300&gt;=Inputs!$B$8,MOD($A300,Inputs!$B$8)=0),Inputs!$B$7*(1+Inputs!$B$6/100)^$A300,0)),0))</f>
        <v/>
      </c>
      <c r="F300" s="49" t="str">
        <f t="shared" si="16"/>
        <v/>
      </c>
      <c r="G300" s="49">
        <f t="shared" si="17"/>
        <v>0</v>
      </c>
    </row>
    <row r="301" spans="1:7" ht="15" customHeight="1" x14ac:dyDescent="0.25">
      <c r="A301" s="49" t="str">
        <f>IF(95&lt;=Inputs!$B$3,95,"")</f>
        <v/>
      </c>
      <c r="B301" s="49" t="str">
        <f t="shared" si="18"/>
        <v/>
      </c>
      <c r="C301" s="49" t="str">
        <f>IF($A301="","",Inputs!$B$4*12*(1+Inputs!$B$10/100)^($A301-1))</f>
        <v/>
      </c>
      <c r="D301" s="49" t="str">
        <f>IF($A301="","",B301*(Inputs!$B$5/100))</f>
        <v/>
      </c>
      <c r="E301" s="49" t="str">
        <f>IF($A301="","",IFERROR(IF(OR(Inputs!$B$8&lt;=0,Inputs!$B$8=""),0,IF(AND($A301&gt;=Inputs!$B$8,MOD($A301,Inputs!$B$8)=0),Inputs!$B$7*(1+Inputs!$B$6/100)^$A301,0)),0))</f>
        <v/>
      </c>
      <c r="F301" s="49" t="str">
        <f t="shared" si="16"/>
        <v/>
      </c>
      <c r="G301" s="49">
        <f t="shared" si="17"/>
        <v>0</v>
      </c>
    </row>
    <row r="302" spans="1:7" ht="15" customHeight="1" x14ac:dyDescent="0.25">
      <c r="A302" s="49" t="str">
        <f>IF(96&lt;=Inputs!$B$3,96,"")</f>
        <v/>
      </c>
      <c r="B302" s="49" t="str">
        <f t="shared" si="18"/>
        <v/>
      </c>
      <c r="C302" s="49" t="str">
        <f>IF($A302="","",Inputs!$B$4*12*(1+Inputs!$B$10/100)^($A302-1))</f>
        <v/>
      </c>
      <c r="D302" s="49" t="str">
        <f>IF($A302="","",B302*(Inputs!$B$5/100))</f>
        <v/>
      </c>
      <c r="E302" s="49" t="str">
        <f>IF($A302="","",IFERROR(IF(OR(Inputs!$B$8&lt;=0,Inputs!$B$8=""),0,IF(AND($A302&gt;=Inputs!$B$8,MOD($A302,Inputs!$B$8)=0),Inputs!$B$7*(1+Inputs!$B$6/100)^$A302,0)),0))</f>
        <v/>
      </c>
      <c r="F302" s="49" t="str">
        <f t="shared" si="16"/>
        <v/>
      </c>
      <c r="G302" s="49">
        <f t="shared" si="17"/>
        <v>0</v>
      </c>
    </row>
    <row r="303" spans="1:7" ht="15" customHeight="1" x14ac:dyDescent="0.25">
      <c r="A303" s="49" t="str">
        <f>IF(97&lt;=Inputs!$B$3,97,"")</f>
        <v/>
      </c>
      <c r="B303" s="49" t="str">
        <f t="shared" si="18"/>
        <v/>
      </c>
      <c r="C303" s="49" t="str">
        <f>IF($A303="","",Inputs!$B$4*12*(1+Inputs!$B$10/100)^($A303-1))</f>
        <v/>
      </c>
      <c r="D303" s="49" t="str">
        <f>IF($A303="","",B303*(Inputs!$B$5/100))</f>
        <v/>
      </c>
      <c r="E303" s="49" t="str">
        <f>IF($A303="","",IFERROR(IF(OR(Inputs!$B$8&lt;=0,Inputs!$B$8=""),0,IF(AND($A303&gt;=Inputs!$B$8,MOD($A303,Inputs!$B$8)=0),Inputs!$B$7*(1+Inputs!$B$6/100)^$A303,0)),0))</f>
        <v/>
      </c>
      <c r="F303" s="49" t="str">
        <f t="shared" ref="F303:F306" si="19">IF($A303="","",B303+C303+D303-E303)</f>
        <v/>
      </c>
      <c r="G303" s="49">
        <f t="shared" si="17"/>
        <v>0</v>
      </c>
    </row>
    <row r="304" spans="1:7" ht="15" customHeight="1" x14ac:dyDescent="0.25">
      <c r="A304" s="49" t="str">
        <f>IF(98&lt;=Inputs!$B$3,98,"")</f>
        <v/>
      </c>
      <c r="B304" s="49" t="str">
        <f t="shared" si="18"/>
        <v/>
      </c>
      <c r="C304" s="49" t="str">
        <f>IF($A304="","",Inputs!$B$4*12*(1+Inputs!$B$10/100)^($A304-1))</f>
        <v/>
      </c>
      <c r="D304" s="49" t="str">
        <f>IF($A304="","",B304*(Inputs!$B$5/100))</f>
        <v/>
      </c>
      <c r="E304" s="49" t="str">
        <f>IF($A304="","",IFERROR(IF(OR(Inputs!$B$8&lt;=0,Inputs!$B$8=""),0,IF(AND($A304&gt;=Inputs!$B$8,MOD($A304,Inputs!$B$8)=0),Inputs!$B$7*(1+Inputs!$B$6/100)^$A304,0)),0))</f>
        <v/>
      </c>
      <c r="F304" s="49" t="str">
        <f t="shared" si="19"/>
        <v/>
      </c>
      <c r="G304" s="49">
        <f t="shared" si="17"/>
        <v>0</v>
      </c>
    </row>
    <row r="305" spans="1:7" ht="15" customHeight="1" x14ac:dyDescent="0.25">
      <c r="A305" s="49" t="str">
        <f>IF(99&lt;=Inputs!$B$3,99,"")</f>
        <v/>
      </c>
      <c r="B305" s="49" t="str">
        <f t="shared" si="18"/>
        <v/>
      </c>
      <c r="C305" s="49" t="str">
        <f>IF($A305="","",Inputs!$B$4*12*(1+Inputs!$B$10/100)^($A305-1))</f>
        <v/>
      </c>
      <c r="D305" s="49" t="str">
        <f>IF($A305="","",B305*(Inputs!$B$5/100))</f>
        <v/>
      </c>
      <c r="E305" s="49" t="str">
        <f>IF($A305="","",IFERROR(IF(OR(Inputs!$B$8&lt;=0,Inputs!$B$8=""),0,IF(AND($A305&gt;=Inputs!$B$8,MOD($A305,Inputs!$B$8)=0),Inputs!$B$7*(1+Inputs!$B$6/100)^$A305,0)),0))</f>
        <v/>
      </c>
      <c r="F305" s="49" t="str">
        <f t="shared" si="19"/>
        <v/>
      </c>
      <c r="G305" s="49">
        <f t="shared" si="17"/>
        <v>0</v>
      </c>
    </row>
    <row r="306" spans="1:7" ht="15" customHeight="1" x14ac:dyDescent="0.25">
      <c r="A306" s="49" t="str">
        <f>IF(100&lt;=Inputs!$B$3,100,"")</f>
        <v/>
      </c>
      <c r="B306" s="49" t="str">
        <f t="shared" si="18"/>
        <v/>
      </c>
      <c r="C306" s="49" t="str">
        <f>IF($A306="","",Inputs!$B$4*12*(1+Inputs!$B$10/100)^($A306-1))</f>
        <v/>
      </c>
      <c r="D306" s="49" t="str">
        <f>IF($A306="","",B306*(Inputs!$B$5/100))</f>
        <v/>
      </c>
      <c r="E306" s="49" t="str">
        <f>IF($A306="","",IFERROR(IF(OR(Inputs!$B$8&lt;=0,Inputs!$B$8=""),0,IF(AND($A306&gt;=Inputs!$B$8,MOD($A306,Inputs!$B$8)=0),Inputs!$B$7*(1+Inputs!$B$6/100)^$A306,0)),0))</f>
        <v/>
      </c>
      <c r="F306" s="49" t="str">
        <f t="shared" si="19"/>
        <v/>
      </c>
      <c r="G306" s="49">
        <f t="shared" si="17"/>
        <v>0</v>
      </c>
    </row>
    <row r="307" spans="1:7" ht="15" customHeight="1" x14ac:dyDescent="0.25">
      <c r="A307" s="49" t="s">
        <v>137</v>
      </c>
      <c r="B307" s="49" t="s">
        <v>138</v>
      </c>
      <c r="C307" s="49" t="s">
        <v>139</v>
      </c>
      <c r="D307" s="49" t="s">
        <v>140</v>
      </c>
      <c r="E307" s="49" t="s">
        <v>141</v>
      </c>
      <c r="F307" s="49" t="s">
        <v>142</v>
      </c>
      <c r="G307" s="49" t="s">
        <v>143</v>
      </c>
    </row>
    <row r="308" spans="1:7" ht="15" customHeight="1" x14ac:dyDescent="0.25">
      <c r="A308" s="49">
        <f>IF(1&lt;=Inputs!$B$3,1,"")</f>
        <v>1</v>
      </c>
      <c r="B308" s="89">
        <f>IF($A308="","",Inputs!$B$9)</f>
        <v>0</v>
      </c>
      <c r="C308" s="49">
        <f>IF($A308="","",Inputs!$B$4*12*(1+Inputs!$B$10/100)^($A308-1))</f>
        <v>4800</v>
      </c>
      <c r="D308" s="49">
        <f>IF($A308="","",B308*((Inputs!$B$5+2)/100))</f>
        <v>0</v>
      </c>
      <c r="E308" s="49">
        <f>IF($A308="","",IFERROR(IF(OR(Inputs!$B$8&lt;=0,Inputs!$B$8=""),0,IF(AND($A308&gt;=Inputs!$B$8,MOD($A308,Inputs!$B$8)=0),Inputs!$B$7*(1+Inputs!$B$6/100)^$A308,0)),0))</f>
        <v>0</v>
      </c>
      <c r="F308" s="49">
        <f t="shared" ref="F308:F339" si="20">IF($A308="","",B308+C308+D308-E308)</f>
        <v>4800</v>
      </c>
      <c r="G308" s="49">
        <f t="shared" ref="G308:G339" si="21">IF($A308="",0,IF(D308&gt;C308,1,0))</f>
        <v>0</v>
      </c>
    </row>
    <row r="309" spans="1:7" ht="15" customHeight="1" x14ac:dyDescent="0.25">
      <c r="A309" s="49">
        <f>IF(2&lt;=Inputs!$B$3,2,"")</f>
        <v>2</v>
      </c>
      <c r="B309" s="49">
        <f t="shared" ref="B309:B340" si="22">IF($A309="","",F308)</f>
        <v>4800</v>
      </c>
      <c r="C309" s="49">
        <f>IF($A309="","",Inputs!$B$4*12*(1+Inputs!$B$10/100)^($A309-1))</f>
        <v>4800</v>
      </c>
      <c r="D309" s="49">
        <f>IF($A309="","",B309*((Inputs!$B$5+2)/100))</f>
        <v>432</v>
      </c>
      <c r="E309" s="49">
        <f>IF($A309="","",IFERROR(IF(OR(Inputs!$B$8&lt;=0,Inputs!$B$8=""),0,IF(AND($A309&gt;=Inputs!$B$8,MOD($A309,Inputs!$B$8)=0),Inputs!$B$7*(1+Inputs!$B$6/100)^$A309,0)),0))</f>
        <v>0</v>
      </c>
      <c r="F309" s="49">
        <f t="shared" si="20"/>
        <v>10032</v>
      </c>
      <c r="G309" s="49">
        <f t="shared" si="21"/>
        <v>0</v>
      </c>
    </row>
    <row r="310" spans="1:7" ht="15" customHeight="1" x14ac:dyDescent="0.25">
      <c r="A310" s="49">
        <f>IF(3&lt;=Inputs!$B$3,3,"")</f>
        <v>3</v>
      </c>
      <c r="B310" s="49">
        <f t="shared" si="22"/>
        <v>10032</v>
      </c>
      <c r="C310" s="49">
        <f>IF($A310="","",Inputs!$B$4*12*(1+Inputs!$B$10/100)^($A310-1))</f>
        <v>4800</v>
      </c>
      <c r="D310" s="49">
        <f>IF($A310="","",B310*((Inputs!$B$5+2)/100))</f>
        <v>902.88</v>
      </c>
      <c r="E310" s="49">
        <f>IF($A310="","",IFERROR(IF(OR(Inputs!$B$8&lt;=0,Inputs!$B$8=""),0,IF(AND($A310&gt;=Inputs!$B$8,MOD($A310,Inputs!$B$8)=0),Inputs!$B$7*(1+Inputs!$B$6/100)^$A310,0)),0))</f>
        <v>0</v>
      </c>
      <c r="F310" s="49">
        <f t="shared" si="20"/>
        <v>15734.88</v>
      </c>
      <c r="G310" s="49">
        <f t="shared" si="21"/>
        <v>0</v>
      </c>
    </row>
    <row r="311" spans="1:7" ht="15" customHeight="1" x14ac:dyDescent="0.25">
      <c r="A311" s="49">
        <f>IF(4&lt;=Inputs!$B$3,4,"")</f>
        <v>4</v>
      </c>
      <c r="B311" s="49">
        <f t="shared" si="22"/>
        <v>15734.88</v>
      </c>
      <c r="C311" s="49">
        <f>IF($A311="","",Inputs!$B$4*12*(1+Inputs!$B$10/100)^($A311-1))</f>
        <v>4800</v>
      </c>
      <c r="D311" s="49">
        <f>IF($A311="","",B311*((Inputs!$B$5+2)/100))</f>
        <v>1416.1391999999998</v>
      </c>
      <c r="E311" s="49">
        <f>IF($A311="","",IFERROR(IF(OR(Inputs!$B$8&lt;=0,Inputs!$B$8=""),0,IF(AND($A311&gt;=Inputs!$B$8,MOD($A311,Inputs!$B$8)=0),Inputs!$B$7*(1+Inputs!$B$6/100)^$A311,0)),0))</f>
        <v>0</v>
      </c>
      <c r="F311" s="49">
        <f t="shared" si="20"/>
        <v>21951.019199999999</v>
      </c>
      <c r="G311" s="49">
        <f t="shared" si="21"/>
        <v>0</v>
      </c>
    </row>
    <row r="312" spans="1:7" ht="15" customHeight="1" x14ac:dyDescent="0.25">
      <c r="A312" s="49">
        <f>IF(5&lt;=Inputs!$B$3,5,"")</f>
        <v>5</v>
      </c>
      <c r="B312" s="49">
        <f t="shared" si="22"/>
        <v>21951.019199999999</v>
      </c>
      <c r="C312" s="49">
        <f>IF($A312="","",Inputs!$B$4*12*(1+Inputs!$B$10/100)^($A312-1))</f>
        <v>4800</v>
      </c>
      <c r="D312" s="49">
        <f>IF($A312="","",B312*((Inputs!$B$5+2)/100))</f>
        <v>1975.5917279999999</v>
      </c>
      <c r="E312" s="49">
        <f>IF($A312="","",IFERROR(IF(OR(Inputs!$B$8&lt;=0,Inputs!$B$8=""),0,IF(AND($A312&gt;=Inputs!$B$8,MOD($A312,Inputs!$B$8)=0),Inputs!$B$7*(1+Inputs!$B$6/100)^$A312,0)),0))</f>
        <v>0</v>
      </c>
      <c r="F312" s="49">
        <f t="shared" si="20"/>
        <v>28726.610927999998</v>
      </c>
      <c r="G312" s="49">
        <f t="shared" si="21"/>
        <v>0</v>
      </c>
    </row>
    <row r="313" spans="1:7" ht="15" customHeight="1" x14ac:dyDescent="0.25">
      <c r="A313" s="49">
        <f>IF(6&lt;=Inputs!$B$3,6,"")</f>
        <v>6</v>
      </c>
      <c r="B313" s="49">
        <f t="shared" si="22"/>
        <v>28726.610927999998</v>
      </c>
      <c r="C313" s="49">
        <f>IF($A313="","",Inputs!$B$4*12*(1+Inputs!$B$10/100)^($A313-1))</f>
        <v>4800</v>
      </c>
      <c r="D313" s="49">
        <f>IF($A313="","",B313*((Inputs!$B$5+2)/100))</f>
        <v>2585.3949835199996</v>
      </c>
      <c r="E313" s="49">
        <f>IF($A313="","",IFERROR(IF(OR(Inputs!$B$8&lt;=0,Inputs!$B$8=""),0,IF(AND($A313&gt;=Inputs!$B$8,MOD($A313,Inputs!$B$8)=0),Inputs!$B$7*(1+Inputs!$B$6/100)^$A313,0)),0))</f>
        <v>0</v>
      </c>
      <c r="F313" s="49">
        <f t="shared" si="20"/>
        <v>36112.005911519991</v>
      </c>
      <c r="G313" s="49">
        <f t="shared" si="21"/>
        <v>0</v>
      </c>
    </row>
    <row r="314" spans="1:7" ht="15" customHeight="1" x14ac:dyDescent="0.25">
      <c r="A314" s="49">
        <f>IF(7&lt;=Inputs!$B$3,7,"")</f>
        <v>7</v>
      </c>
      <c r="B314" s="49">
        <f t="shared" si="22"/>
        <v>36112.005911519991</v>
      </c>
      <c r="C314" s="49">
        <f>IF($A314="","",Inputs!$B$4*12*(1+Inputs!$B$10/100)^($A314-1))</f>
        <v>4800</v>
      </c>
      <c r="D314" s="49">
        <f>IF($A314="","",B314*((Inputs!$B$5+2)/100))</f>
        <v>3250.080532036799</v>
      </c>
      <c r="E314" s="49">
        <f>IF($A314="","",IFERROR(IF(OR(Inputs!$B$8&lt;=0,Inputs!$B$8=""),0,IF(AND($A314&gt;=Inputs!$B$8,MOD($A314,Inputs!$B$8)=0),Inputs!$B$7*(1+Inputs!$B$6/100)^$A314,0)),0))</f>
        <v>24597.4773084974</v>
      </c>
      <c r="F314" s="49">
        <f t="shared" si="20"/>
        <v>19564.609135059392</v>
      </c>
      <c r="G314" s="49">
        <f t="shared" si="21"/>
        <v>0</v>
      </c>
    </row>
    <row r="315" spans="1:7" ht="15" customHeight="1" x14ac:dyDescent="0.25">
      <c r="A315" s="49">
        <f>IF(8&lt;=Inputs!$B$3,8,"")</f>
        <v>8</v>
      </c>
      <c r="B315" s="49">
        <f t="shared" si="22"/>
        <v>19564.609135059392</v>
      </c>
      <c r="C315" s="49">
        <f>IF($A315="","",Inputs!$B$4*12*(1+Inputs!$B$10/100)^($A315-1))</f>
        <v>4800</v>
      </c>
      <c r="D315" s="49">
        <f>IF($A315="","",B315*((Inputs!$B$5+2)/100))</f>
        <v>1760.8148221553452</v>
      </c>
      <c r="E315" s="49">
        <f>IF($A315="","",IFERROR(IF(OR(Inputs!$B$8&lt;=0,Inputs!$B$8=""),0,IF(AND($A315&gt;=Inputs!$B$8,MOD($A315,Inputs!$B$8)=0),Inputs!$B$7*(1+Inputs!$B$6/100)^$A315,0)),0))</f>
        <v>0</v>
      </c>
      <c r="F315" s="49">
        <f t="shared" si="20"/>
        <v>26125.423957214738</v>
      </c>
      <c r="G315" s="49">
        <f t="shared" si="21"/>
        <v>0</v>
      </c>
    </row>
    <row r="316" spans="1:7" ht="15" customHeight="1" x14ac:dyDescent="0.25">
      <c r="A316" s="49">
        <f>IF(9&lt;=Inputs!$B$3,9,"")</f>
        <v>9</v>
      </c>
      <c r="B316" s="49">
        <f t="shared" si="22"/>
        <v>26125.423957214738</v>
      </c>
      <c r="C316" s="49">
        <f>IF($A316="","",Inputs!$B$4*12*(1+Inputs!$B$10/100)^($A316-1))</f>
        <v>4800</v>
      </c>
      <c r="D316" s="49">
        <f>IF($A316="","",B316*((Inputs!$B$5+2)/100))</f>
        <v>2351.2881561493264</v>
      </c>
      <c r="E316" s="49">
        <f>IF($A316="","",IFERROR(IF(OR(Inputs!$B$8&lt;=0,Inputs!$B$8=""),0,IF(AND($A316&gt;=Inputs!$B$8,MOD($A316,Inputs!$B$8)=0),Inputs!$B$7*(1+Inputs!$B$6/100)^$A316,0)),0))</f>
        <v>0</v>
      </c>
      <c r="F316" s="49">
        <f t="shared" si="20"/>
        <v>33276.712113364061</v>
      </c>
      <c r="G316" s="49">
        <f t="shared" si="21"/>
        <v>0</v>
      </c>
    </row>
    <row r="317" spans="1:7" ht="15" customHeight="1" x14ac:dyDescent="0.25">
      <c r="A317" s="49">
        <f>IF(10&lt;=Inputs!$B$3,10,"")</f>
        <v>10</v>
      </c>
      <c r="B317" s="49">
        <f t="shared" si="22"/>
        <v>33276.712113364061</v>
      </c>
      <c r="C317" s="49">
        <f>IF($A317="","",Inputs!$B$4*12*(1+Inputs!$B$10/100)^($A317-1))</f>
        <v>4800</v>
      </c>
      <c r="D317" s="49">
        <f>IF($A317="","",B317*((Inputs!$B$5+2)/100))</f>
        <v>2994.9040902027655</v>
      </c>
      <c r="E317" s="49">
        <f>IF($A317="","",IFERROR(IF(OR(Inputs!$B$8&lt;=0,Inputs!$B$8=""),0,IF(AND($A317&gt;=Inputs!$B$8,MOD($A317,Inputs!$B$8)=0),Inputs!$B$7*(1+Inputs!$B$6/100)^$A317,0)),0))</f>
        <v>0</v>
      </c>
      <c r="F317" s="49">
        <f t="shared" si="20"/>
        <v>41071.616203566824</v>
      </c>
      <c r="G317" s="49">
        <f t="shared" si="21"/>
        <v>0</v>
      </c>
    </row>
    <row r="318" spans="1:7" ht="15" customHeight="1" x14ac:dyDescent="0.25">
      <c r="A318" s="49">
        <f>IF(11&lt;=Inputs!$B$3,11,"")</f>
        <v>11</v>
      </c>
      <c r="B318" s="49">
        <f t="shared" si="22"/>
        <v>41071.616203566824</v>
      </c>
      <c r="C318" s="49">
        <f>IF($A318="","",Inputs!$B$4*12*(1+Inputs!$B$10/100)^($A318-1))</f>
        <v>4800</v>
      </c>
      <c r="D318" s="49">
        <f>IF($A318="","",B318*((Inputs!$B$5+2)/100))</f>
        <v>3696.445458321014</v>
      </c>
      <c r="E318" s="49">
        <f>IF($A318="","",IFERROR(IF(OR(Inputs!$B$8&lt;=0,Inputs!$B$8=""),0,IF(AND($A318&gt;=Inputs!$B$8,MOD($A318,Inputs!$B$8)=0),Inputs!$B$7*(1+Inputs!$B$6/100)^$A318,0)),0))</f>
        <v>0</v>
      </c>
      <c r="F318" s="49">
        <f t="shared" si="20"/>
        <v>49568.061661887841</v>
      </c>
      <c r="G318" s="49">
        <f t="shared" si="21"/>
        <v>0</v>
      </c>
    </row>
    <row r="319" spans="1:7" ht="15" customHeight="1" x14ac:dyDescent="0.25">
      <c r="A319" s="49">
        <f>IF(12&lt;=Inputs!$B$3,12,"")</f>
        <v>12</v>
      </c>
      <c r="B319" s="49">
        <f t="shared" si="22"/>
        <v>49568.061661887841</v>
      </c>
      <c r="C319" s="49">
        <f>IF($A319="","",Inputs!$B$4*12*(1+Inputs!$B$10/100)^($A319-1))</f>
        <v>4800</v>
      </c>
      <c r="D319" s="49">
        <f>IF($A319="","",B319*((Inputs!$B$5+2)/100))</f>
        <v>4461.1255495699052</v>
      </c>
      <c r="E319" s="49">
        <f>IF($A319="","",IFERROR(IF(OR(Inputs!$B$8&lt;=0,Inputs!$B$8=""),0,IF(AND($A319&gt;=Inputs!$B$8,MOD($A319,Inputs!$B$8)=0),Inputs!$B$7*(1+Inputs!$B$6/100)^$A319,0)),0))</f>
        <v>0</v>
      </c>
      <c r="F319" s="49">
        <f t="shared" si="20"/>
        <v>58829.187211457749</v>
      </c>
      <c r="G319" s="49">
        <f t="shared" si="21"/>
        <v>0</v>
      </c>
    </row>
    <row r="320" spans="1:7" ht="15" customHeight="1" x14ac:dyDescent="0.25">
      <c r="A320" s="49">
        <f>IF(13&lt;=Inputs!$B$3,13,"")</f>
        <v>13</v>
      </c>
      <c r="B320" s="49">
        <f t="shared" si="22"/>
        <v>58829.187211457749</v>
      </c>
      <c r="C320" s="49">
        <f>IF($A320="","",Inputs!$B$4*12*(1+Inputs!$B$10/100)^($A320-1))</f>
        <v>4800</v>
      </c>
      <c r="D320" s="49">
        <f>IF($A320="","",B320*((Inputs!$B$5+2)/100))</f>
        <v>5294.6268490311968</v>
      </c>
      <c r="E320" s="49">
        <f>IF($A320="","",IFERROR(IF(OR(Inputs!$B$8&lt;=0,Inputs!$B$8=""),0,IF(AND($A320&gt;=Inputs!$B$8,MOD($A320,Inputs!$B$8)=0),Inputs!$B$7*(1+Inputs!$B$6/100)^$A320,0)),0))</f>
        <v>0</v>
      </c>
      <c r="F320" s="49">
        <f t="shared" si="20"/>
        <v>68923.814060488949</v>
      </c>
      <c r="G320" s="49">
        <f t="shared" si="21"/>
        <v>1</v>
      </c>
    </row>
    <row r="321" spans="1:7" ht="15" customHeight="1" x14ac:dyDescent="0.25">
      <c r="A321" s="49">
        <f>IF(14&lt;=Inputs!$B$3,14,"")</f>
        <v>14</v>
      </c>
      <c r="B321" s="49">
        <f t="shared" si="22"/>
        <v>68923.814060488949</v>
      </c>
      <c r="C321" s="49">
        <f>IF($A321="","",Inputs!$B$4*12*(1+Inputs!$B$10/100)^($A321-1))</f>
        <v>4800</v>
      </c>
      <c r="D321" s="49">
        <f>IF($A321="","",B321*((Inputs!$B$5+2)/100))</f>
        <v>6203.143265444005</v>
      </c>
      <c r="E321" s="49">
        <f>IF($A321="","",IFERROR(IF(OR(Inputs!$B$8&lt;=0,Inputs!$B$8=""),0,IF(AND($A321&gt;=Inputs!$B$8,MOD($A321,Inputs!$B$8)=0),Inputs!$B$7*(1+Inputs!$B$6/100)^$A321,0)),0))</f>
        <v>30251.794497102219</v>
      </c>
      <c r="F321" s="49">
        <f t="shared" si="20"/>
        <v>49675.162828830726</v>
      </c>
      <c r="G321" s="49">
        <f t="shared" si="21"/>
        <v>1</v>
      </c>
    </row>
    <row r="322" spans="1:7" ht="15" customHeight="1" x14ac:dyDescent="0.25">
      <c r="A322" s="49">
        <f>IF(15&lt;=Inputs!$B$3,15,"")</f>
        <v>15</v>
      </c>
      <c r="B322" s="49">
        <f t="shared" si="22"/>
        <v>49675.162828830726</v>
      </c>
      <c r="C322" s="49">
        <f>IF($A322="","",Inputs!$B$4*12*(1+Inputs!$B$10/100)^($A322-1))</f>
        <v>4800</v>
      </c>
      <c r="D322" s="49">
        <f>IF($A322="","",B322*((Inputs!$B$5+2)/100))</f>
        <v>4470.7646545947655</v>
      </c>
      <c r="E322" s="49">
        <f>IF($A322="","",IFERROR(IF(OR(Inputs!$B$8&lt;=0,Inputs!$B$8=""),0,IF(AND($A322&gt;=Inputs!$B$8,MOD($A322,Inputs!$B$8)=0),Inputs!$B$7*(1+Inputs!$B$6/100)^$A322,0)),0))</f>
        <v>0</v>
      </c>
      <c r="F322" s="49">
        <f t="shared" si="20"/>
        <v>58945.92748342549</v>
      </c>
      <c r="G322" s="49">
        <f t="shared" si="21"/>
        <v>0</v>
      </c>
    </row>
    <row r="323" spans="1:7" ht="15" customHeight="1" x14ac:dyDescent="0.25">
      <c r="A323" s="49">
        <f>IF(16&lt;=Inputs!$B$3,16,"")</f>
        <v>16</v>
      </c>
      <c r="B323" s="49">
        <f t="shared" si="22"/>
        <v>58945.92748342549</v>
      </c>
      <c r="C323" s="49">
        <f>IF($A323="","",Inputs!$B$4*12*(1+Inputs!$B$10/100)^($A323-1))</f>
        <v>4800</v>
      </c>
      <c r="D323" s="49">
        <f>IF($A323="","",B323*((Inputs!$B$5+2)/100))</f>
        <v>5305.1334735082937</v>
      </c>
      <c r="E323" s="49">
        <f>IF($A323="","",IFERROR(IF(OR(Inputs!$B$8&lt;=0,Inputs!$B$8=""),0,IF(AND($A323&gt;=Inputs!$B$8,MOD($A323,Inputs!$B$8)=0),Inputs!$B$7*(1+Inputs!$B$6/100)^$A323,0)),0))</f>
        <v>0</v>
      </c>
      <c r="F323" s="49">
        <f t="shared" si="20"/>
        <v>69051.060956933783</v>
      </c>
      <c r="G323" s="49">
        <f t="shared" si="21"/>
        <v>1</v>
      </c>
    </row>
    <row r="324" spans="1:7" ht="15" customHeight="1" x14ac:dyDescent="0.25">
      <c r="A324" s="49">
        <f>IF(17&lt;=Inputs!$B$3,17,"")</f>
        <v>17</v>
      </c>
      <c r="B324" s="49">
        <f t="shared" si="22"/>
        <v>69051.060956933783</v>
      </c>
      <c r="C324" s="49">
        <f>IF($A324="","",Inputs!$B$4*12*(1+Inputs!$B$10/100)^($A324-1))</f>
        <v>4800</v>
      </c>
      <c r="D324" s="49">
        <f>IF($A324="","",B324*((Inputs!$B$5+2)/100))</f>
        <v>6214.5954861240407</v>
      </c>
      <c r="E324" s="49">
        <f>IF($A324="","",IFERROR(IF(OR(Inputs!$B$8&lt;=0,Inputs!$B$8=""),0,IF(AND($A324&gt;=Inputs!$B$8,MOD($A324,Inputs!$B$8)=0),Inputs!$B$7*(1+Inputs!$B$6/100)^$A324,0)),0))</f>
        <v>0</v>
      </c>
      <c r="F324" s="49">
        <f t="shared" si="20"/>
        <v>80065.656443057829</v>
      </c>
      <c r="G324" s="49">
        <f t="shared" si="21"/>
        <v>1</v>
      </c>
    </row>
    <row r="325" spans="1:7" ht="15" customHeight="1" x14ac:dyDescent="0.25">
      <c r="A325" s="49">
        <f>IF(18&lt;=Inputs!$B$3,18,"")</f>
        <v>18</v>
      </c>
      <c r="B325" s="49">
        <f t="shared" si="22"/>
        <v>80065.656443057829</v>
      </c>
      <c r="C325" s="49">
        <f>IF($A325="","",Inputs!$B$4*12*(1+Inputs!$B$10/100)^($A325-1))</f>
        <v>4800</v>
      </c>
      <c r="D325" s="49">
        <f>IF($A325="","",B325*((Inputs!$B$5+2)/100))</f>
        <v>7205.909079875204</v>
      </c>
      <c r="E325" s="49">
        <f>IF($A325="","",IFERROR(IF(OR(Inputs!$B$8&lt;=0,Inputs!$B$8=""),0,IF(AND($A325&gt;=Inputs!$B$8,MOD($A325,Inputs!$B$8)=0),Inputs!$B$7*(1+Inputs!$B$6/100)^$A325,0)),0))</f>
        <v>0</v>
      </c>
      <c r="F325" s="49">
        <f t="shared" si="20"/>
        <v>92071.56552293303</v>
      </c>
      <c r="G325" s="49">
        <f t="shared" si="21"/>
        <v>1</v>
      </c>
    </row>
    <row r="326" spans="1:7" ht="15" customHeight="1" x14ac:dyDescent="0.25">
      <c r="A326" s="49">
        <f>IF(19&lt;=Inputs!$B$3,19,"")</f>
        <v>19</v>
      </c>
      <c r="B326" s="49">
        <f t="shared" si="22"/>
        <v>92071.56552293303</v>
      </c>
      <c r="C326" s="49">
        <f>IF($A326="","",Inputs!$B$4*12*(1+Inputs!$B$10/100)^($A326-1))</f>
        <v>4800</v>
      </c>
      <c r="D326" s="49">
        <f>IF($A326="","",B326*((Inputs!$B$5+2)/100))</f>
        <v>8286.4408970639724</v>
      </c>
      <c r="E326" s="49">
        <f>IF($A326="","",IFERROR(IF(OR(Inputs!$B$8&lt;=0,Inputs!$B$8=""),0,IF(AND($A326&gt;=Inputs!$B$8,MOD($A326,Inputs!$B$8)=0),Inputs!$B$7*(1+Inputs!$B$6/100)^$A326,0)),0))</f>
        <v>0</v>
      </c>
      <c r="F326" s="49">
        <f t="shared" si="20"/>
        <v>105158.00641999701</v>
      </c>
      <c r="G326" s="49">
        <f t="shared" si="21"/>
        <v>1</v>
      </c>
    </row>
    <row r="327" spans="1:7" ht="15" customHeight="1" x14ac:dyDescent="0.25">
      <c r="A327" s="49">
        <f>IF(20&lt;=Inputs!$B$3,20,"")</f>
        <v>20</v>
      </c>
      <c r="B327" s="49">
        <f t="shared" si="22"/>
        <v>105158.00641999701</v>
      </c>
      <c r="C327" s="49">
        <f>IF($A327="","",Inputs!$B$4*12*(1+Inputs!$B$10/100)^($A327-1))</f>
        <v>4800</v>
      </c>
      <c r="D327" s="49">
        <f>IF($A327="","",B327*((Inputs!$B$5+2)/100))</f>
        <v>9464.2205777997297</v>
      </c>
      <c r="E327" s="49">
        <f>IF($A327="","",IFERROR(IF(OR(Inputs!$B$8&lt;=0,Inputs!$B$8=""),0,IF(AND($A327&gt;=Inputs!$B$8,MOD($A327,Inputs!$B$8)=0),Inputs!$B$7*(1+Inputs!$B$6/100)^$A327,0)),0))</f>
        <v>0</v>
      </c>
      <c r="F327" s="49">
        <f t="shared" si="20"/>
        <v>119422.22699779674</v>
      </c>
      <c r="G327" s="49">
        <f t="shared" si="21"/>
        <v>1</v>
      </c>
    </row>
    <row r="328" spans="1:7" ht="15" customHeight="1" x14ac:dyDescent="0.25">
      <c r="A328" s="49">
        <f>IF(21&lt;=Inputs!$B$3,21,"")</f>
        <v>21</v>
      </c>
      <c r="B328" s="49">
        <f t="shared" si="22"/>
        <v>119422.22699779674</v>
      </c>
      <c r="C328" s="49">
        <f>IF($A328="","",Inputs!$B$4*12*(1+Inputs!$B$10/100)^($A328-1))</f>
        <v>4800</v>
      </c>
      <c r="D328" s="49">
        <f>IF($A328="","",B328*((Inputs!$B$5+2)/100))</f>
        <v>10748.000429801707</v>
      </c>
      <c r="E328" s="49">
        <f>IF($A328="","",IFERROR(IF(OR(Inputs!$B$8&lt;=0,Inputs!$B$8=""),0,IF(AND($A328&gt;=Inputs!$B$8,MOD($A328,Inputs!$B$8)=0),Inputs!$B$7*(1+Inputs!$B$6/100)^$A328,0)),0))</f>
        <v>37205.891434189907</v>
      </c>
      <c r="F328" s="49">
        <f t="shared" si="20"/>
        <v>97764.335993408531</v>
      </c>
      <c r="G328" s="49">
        <f t="shared" si="21"/>
        <v>1</v>
      </c>
    </row>
    <row r="329" spans="1:7" ht="15" customHeight="1" x14ac:dyDescent="0.25">
      <c r="A329" s="49">
        <f>IF(22&lt;=Inputs!$B$3,22,"")</f>
        <v>22</v>
      </c>
      <c r="B329" s="49">
        <f t="shared" si="22"/>
        <v>97764.335993408531</v>
      </c>
      <c r="C329" s="49">
        <f>IF($A329="","",Inputs!$B$4*12*(1+Inputs!$B$10/100)^($A329-1))</f>
        <v>4800</v>
      </c>
      <c r="D329" s="49">
        <f>IF($A329="","",B329*((Inputs!$B$5+2)/100))</f>
        <v>8798.7902394067678</v>
      </c>
      <c r="E329" s="49">
        <f>IF($A329="","",IFERROR(IF(OR(Inputs!$B$8&lt;=0,Inputs!$B$8=""),0,IF(AND($A329&gt;=Inputs!$B$8,MOD($A329,Inputs!$B$8)=0),Inputs!$B$7*(1+Inputs!$B$6/100)^$A329,0)),0))</f>
        <v>0</v>
      </c>
      <c r="F329" s="49">
        <f t="shared" si="20"/>
        <v>111363.1262328153</v>
      </c>
      <c r="G329" s="49">
        <f t="shared" si="21"/>
        <v>1</v>
      </c>
    </row>
    <row r="330" spans="1:7" ht="15" customHeight="1" x14ac:dyDescent="0.25">
      <c r="A330" s="49">
        <f>IF(23&lt;=Inputs!$B$3,23,"")</f>
        <v>23</v>
      </c>
      <c r="B330" s="49">
        <f t="shared" si="22"/>
        <v>111363.1262328153</v>
      </c>
      <c r="C330" s="49">
        <f>IF($A330="","",Inputs!$B$4*12*(1+Inputs!$B$10/100)^($A330-1))</f>
        <v>4800</v>
      </c>
      <c r="D330" s="49">
        <f>IF($A330="","",B330*((Inputs!$B$5+2)/100))</f>
        <v>10022.681360953376</v>
      </c>
      <c r="E330" s="49">
        <f>IF($A330="","",IFERROR(IF(OR(Inputs!$B$8&lt;=0,Inputs!$B$8=""),0,IF(AND($A330&gt;=Inputs!$B$8,MOD($A330,Inputs!$B$8)=0),Inputs!$B$7*(1+Inputs!$B$6/100)^$A330,0)),0))</f>
        <v>0</v>
      </c>
      <c r="F330" s="49">
        <f t="shared" si="20"/>
        <v>126185.80759376867</v>
      </c>
      <c r="G330" s="49">
        <f t="shared" si="21"/>
        <v>1</v>
      </c>
    </row>
    <row r="331" spans="1:7" ht="15" customHeight="1" x14ac:dyDescent="0.25">
      <c r="A331" s="49">
        <f>IF(24&lt;=Inputs!$B$3,24,"")</f>
        <v>24</v>
      </c>
      <c r="B331" s="49">
        <f t="shared" si="22"/>
        <v>126185.80759376867</v>
      </c>
      <c r="C331" s="49">
        <f>IF($A331="","",Inputs!$B$4*12*(1+Inputs!$B$10/100)^($A331-1))</f>
        <v>4800</v>
      </c>
      <c r="D331" s="49">
        <f>IF($A331="","",B331*((Inputs!$B$5+2)/100))</f>
        <v>11356.72268343918</v>
      </c>
      <c r="E331" s="49">
        <f>IF($A331="","",IFERROR(IF(OR(Inputs!$B$8&lt;=0,Inputs!$B$8=""),0,IF(AND($A331&gt;=Inputs!$B$8,MOD($A331,Inputs!$B$8)=0),Inputs!$B$7*(1+Inputs!$B$6/100)^$A331,0)),0))</f>
        <v>0</v>
      </c>
      <c r="F331" s="49">
        <f t="shared" si="20"/>
        <v>142342.53027720784</v>
      </c>
      <c r="G331" s="49">
        <f t="shared" si="21"/>
        <v>1</v>
      </c>
    </row>
    <row r="332" spans="1:7" ht="15" customHeight="1" x14ac:dyDescent="0.25">
      <c r="A332" s="49">
        <f>IF(25&lt;=Inputs!$B$3,25,"")</f>
        <v>25</v>
      </c>
      <c r="B332" s="49">
        <f t="shared" si="22"/>
        <v>142342.53027720784</v>
      </c>
      <c r="C332" s="49">
        <f>IF($A332="","",Inputs!$B$4*12*(1+Inputs!$B$10/100)^($A332-1))</f>
        <v>4800</v>
      </c>
      <c r="D332" s="49">
        <f>IF($A332="","",B332*((Inputs!$B$5+2)/100))</f>
        <v>12810.827724948706</v>
      </c>
      <c r="E332" s="49">
        <f>IF($A332="","",IFERROR(IF(OR(Inputs!$B$8&lt;=0,Inputs!$B$8=""),0,IF(AND($A332&gt;=Inputs!$B$8,MOD($A332,Inputs!$B$8)=0),Inputs!$B$7*(1+Inputs!$B$6/100)^$A332,0)),0))</f>
        <v>0</v>
      </c>
      <c r="F332" s="49">
        <f t="shared" si="20"/>
        <v>159953.35800215654</v>
      </c>
      <c r="G332" s="49">
        <f t="shared" si="21"/>
        <v>1</v>
      </c>
    </row>
    <row r="333" spans="1:7" ht="15" customHeight="1" x14ac:dyDescent="0.25">
      <c r="A333" s="49">
        <f>IF(26&lt;=Inputs!$B$3,26,"")</f>
        <v>26</v>
      </c>
      <c r="B333" s="49">
        <f t="shared" si="22"/>
        <v>159953.35800215654</v>
      </c>
      <c r="C333" s="49">
        <f>IF($A333="","",Inputs!$B$4*12*(1+Inputs!$B$10/100)^($A333-1))</f>
        <v>4800</v>
      </c>
      <c r="D333" s="49">
        <f>IF($A333="","",B333*((Inputs!$B$5+2)/100))</f>
        <v>14395.802220194088</v>
      </c>
      <c r="E333" s="49">
        <f>IF($A333="","",IFERROR(IF(OR(Inputs!$B$8&lt;=0,Inputs!$B$8=""),0,IF(AND($A333&gt;=Inputs!$B$8,MOD($A333,Inputs!$B$8)=0),Inputs!$B$7*(1+Inputs!$B$6/100)^$A333,0)),0))</f>
        <v>0</v>
      </c>
      <c r="F333" s="49">
        <f t="shared" si="20"/>
        <v>179149.16022235062</v>
      </c>
      <c r="G333" s="49">
        <f t="shared" si="21"/>
        <v>1</v>
      </c>
    </row>
    <row r="334" spans="1:7" ht="15" customHeight="1" x14ac:dyDescent="0.25">
      <c r="A334" s="49">
        <f>IF(27&lt;=Inputs!$B$3,27,"")</f>
        <v>27</v>
      </c>
      <c r="B334" s="49">
        <f t="shared" si="22"/>
        <v>179149.16022235062</v>
      </c>
      <c r="C334" s="49">
        <f>IF($A334="","",Inputs!$B$4*12*(1+Inputs!$B$10/100)^($A334-1))</f>
        <v>4800</v>
      </c>
      <c r="D334" s="49">
        <f>IF($A334="","",B334*((Inputs!$B$5+2)/100))</f>
        <v>16123.424420011555</v>
      </c>
      <c r="E334" s="49">
        <f>IF($A334="","",IFERROR(IF(OR(Inputs!$B$8&lt;=0,Inputs!$B$8=""),0,IF(AND($A334&gt;=Inputs!$B$8,MOD($A334,Inputs!$B$8)=0),Inputs!$B$7*(1+Inputs!$B$6/100)^$A334,0)),0))</f>
        <v>0</v>
      </c>
      <c r="F334" s="49">
        <f t="shared" si="20"/>
        <v>200072.58464236217</v>
      </c>
      <c r="G334" s="49">
        <f t="shared" si="21"/>
        <v>1</v>
      </c>
    </row>
    <row r="335" spans="1:7" ht="15" customHeight="1" x14ac:dyDescent="0.25">
      <c r="A335" s="49">
        <f>IF(28&lt;=Inputs!$B$3,28,"")</f>
        <v>28</v>
      </c>
      <c r="B335" s="49">
        <f t="shared" si="22"/>
        <v>200072.58464236217</v>
      </c>
      <c r="C335" s="49">
        <f>IF($A335="","",Inputs!$B$4*12*(1+Inputs!$B$10/100)^($A335-1))</f>
        <v>4800</v>
      </c>
      <c r="D335" s="49">
        <f>IF($A335="","",B335*((Inputs!$B$5+2)/100))</f>
        <v>18006.532617812594</v>
      </c>
      <c r="E335" s="49">
        <f>IF($A335="","",IFERROR(IF(OR(Inputs!$B$8&lt;=0,Inputs!$B$8=""),0,IF(AND($A335&gt;=Inputs!$B$8,MOD($A335,Inputs!$B$8)=0),Inputs!$B$7*(1+Inputs!$B$6/100)^$A335,0)),0))</f>
        <v>45758.553514745203</v>
      </c>
      <c r="F335" s="49">
        <f t="shared" si="20"/>
        <v>177120.56374542956</v>
      </c>
      <c r="G335" s="49">
        <f t="shared" si="21"/>
        <v>1</v>
      </c>
    </row>
    <row r="336" spans="1:7" ht="15" customHeight="1" x14ac:dyDescent="0.25">
      <c r="A336" s="49">
        <f>IF(29&lt;=Inputs!$B$3,29,"")</f>
        <v>29</v>
      </c>
      <c r="B336" s="49">
        <f t="shared" si="22"/>
        <v>177120.56374542956</v>
      </c>
      <c r="C336" s="49">
        <f>IF($A336="","",Inputs!$B$4*12*(1+Inputs!$B$10/100)^($A336-1))</f>
        <v>4800</v>
      </c>
      <c r="D336" s="49">
        <f>IF($A336="","",B336*((Inputs!$B$5+2)/100))</f>
        <v>15940.85073708866</v>
      </c>
      <c r="E336" s="49">
        <f>IF($A336="","",IFERROR(IF(OR(Inputs!$B$8&lt;=0,Inputs!$B$8=""),0,IF(AND($A336&gt;=Inputs!$B$8,MOD($A336,Inputs!$B$8)=0),Inputs!$B$7*(1+Inputs!$B$6/100)^$A336,0)),0))</f>
        <v>0</v>
      </c>
      <c r="F336" s="49">
        <f t="shared" si="20"/>
        <v>197861.41448251822</v>
      </c>
      <c r="G336" s="49">
        <f t="shared" si="21"/>
        <v>1</v>
      </c>
    </row>
    <row r="337" spans="1:7" ht="15" customHeight="1" x14ac:dyDescent="0.25">
      <c r="A337" s="49">
        <f>IF(30&lt;=Inputs!$B$3,30,"")</f>
        <v>30</v>
      </c>
      <c r="B337" s="49">
        <f t="shared" si="22"/>
        <v>197861.41448251822</v>
      </c>
      <c r="C337" s="49">
        <f>IF($A337="","",Inputs!$B$4*12*(1+Inputs!$B$10/100)^($A337-1))</f>
        <v>4800</v>
      </c>
      <c r="D337" s="49">
        <f>IF($A337="","",B337*((Inputs!$B$5+2)/100))</f>
        <v>17807.527303426639</v>
      </c>
      <c r="E337" s="49">
        <f>IF($A337="","",IFERROR(IF(OR(Inputs!$B$8&lt;=0,Inputs!$B$8=""),0,IF(AND($A337&gt;=Inputs!$B$8,MOD($A337,Inputs!$B$8)=0),Inputs!$B$7*(1+Inputs!$B$6/100)^$A337,0)),0))</f>
        <v>0</v>
      </c>
      <c r="F337" s="49">
        <f t="shared" si="20"/>
        <v>220468.94178594486</v>
      </c>
      <c r="G337" s="49">
        <f t="shared" si="21"/>
        <v>1</v>
      </c>
    </row>
    <row r="338" spans="1:7" ht="15" customHeight="1" x14ac:dyDescent="0.25">
      <c r="A338" s="49">
        <f>IF(31&lt;=Inputs!$B$3,31,"")</f>
        <v>31</v>
      </c>
      <c r="B338" s="49">
        <f t="shared" si="22"/>
        <v>220468.94178594486</v>
      </c>
      <c r="C338" s="49">
        <f>IF($A338="","",Inputs!$B$4*12*(1+Inputs!$B$10/100)^($A338-1))</f>
        <v>4800</v>
      </c>
      <c r="D338" s="49">
        <f>IF($A338="","",B338*((Inputs!$B$5+2)/100))</f>
        <v>19842.204760735036</v>
      </c>
      <c r="E338" s="49">
        <f>IF($A338="","",IFERROR(IF(OR(Inputs!$B$8&lt;=0,Inputs!$B$8=""),0,IF(AND($A338&gt;=Inputs!$B$8,MOD($A338,Inputs!$B$8)=0),Inputs!$B$7*(1+Inputs!$B$6/100)^$A338,0)),0))</f>
        <v>0</v>
      </c>
      <c r="F338" s="49">
        <f t="shared" si="20"/>
        <v>245111.1465466799</v>
      </c>
      <c r="G338" s="49">
        <f t="shared" si="21"/>
        <v>1</v>
      </c>
    </row>
    <row r="339" spans="1:7" ht="15" customHeight="1" x14ac:dyDescent="0.25">
      <c r="A339" s="49">
        <f>IF(32&lt;=Inputs!$B$3,32,"")</f>
        <v>32</v>
      </c>
      <c r="B339" s="49">
        <f t="shared" si="22"/>
        <v>245111.1465466799</v>
      </c>
      <c r="C339" s="49">
        <f>IF($A339="","",Inputs!$B$4*12*(1+Inputs!$B$10/100)^($A339-1))</f>
        <v>4800</v>
      </c>
      <c r="D339" s="49">
        <f>IF($A339="","",B339*((Inputs!$B$5+2)/100))</f>
        <v>22060.00318920119</v>
      </c>
      <c r="E339" s="49">
        <f>IF($A339="","",IFERROR(IF(OR(Inputs!$B$8&lt;=0,Inputs!$B$8=""),0,IF(AND($A339&gt;=Inputs!$B$8,MOD($A339,Inputs!$B$8)=0),Inputs!$B$7*(1+Inputs!$B$6/100)^$A339,0)),0))</f>
        <v>0</v>
      </c>
      <c r="F339" s="49">
        <f t="shared" si="20"/>
        <v>271971.14973588107</v>
      </c>
      <c r="G339" s="49">
        <f t="shared" si="21"/>
        <v>1</v>
      </c>
    </row>
    <row r="340" spans="1:7" ht="15" customHeight="1" x14ac:dyDescent="0.25">
      <c r="A340" s="49">
        <f>IF(33&lt;=Inputs!$B$3,33,"")</f>
        <v>33</v>
      </c>
      <c r="B340" s="49">
        <f t="shared" si="22"/>
        <v>271971.14973588107</v>
      </c>
      <c r="C340" s="49">
        <f>IF($A340="","",Inputs!$B$4*12*(1+Inputs!$B$10/100)^($A340-1))</f>
        <v>4800</v>
      </c>
      <c r="D340" s="49">
        <f>IF($A340="","",B340*((Inputs!$B$5+2)/100))</f>
        <v>24477.403476229294</v>
      </c>
      <c r="E340" s="49">
        <f>IF($A340="","",IFERROR(IF(OR(Inputs!$B$8&lt;=0,Inputs!$B$8=""),0,IF(AND($A340&gt;=Inputs!$B$8,MOD($A340,Inputs!$B$8)=0),Inputs!$B$7*(1+Inputs!$B$6/100)^$A340,0)),0))</f>
        <v>0</v>
      </c>
      <c r="F340" s="49">
        <f t="shared" ref="F340:F371" si="23">IF($A340="","",B340+C340+D340-E340)</f>
        <v>301248.55321211036</v>
      </c>
      <c r="G340" s="49">
        <f t="shared" ref="G340:G371" si="24">IF($A340="",0,IF(D340&gt;C340,1,0))</f>
        <v>1</v>
      </c>
    </row>
    <row r="341" spans="1:7" ht="15" customHeight="1" x14ac:dyDescent="0.25">
      <c r="A341" s="49">
        <f>IF(34&lt;=Inputs!$B$3,34,"")</f>
        <v>34</v>
      </c>
      <c r="B341" s="49">
        <f t="shared" ref="B341:B372" si="25">IF($A341="","",F340)</f>
        <v>301248.55321211036</v>
      </c>
      <c r="C341" s="49">
        <f>IF($A341="","",Inputs!$B$4*12*(1+Inputs!$B$10/100)^($A341-1))</f>
        <v>4800</v>
      </c>
      <c r="D341" s="49">
        <f>IF($A341="","",B341*((Inputs!$B$5+2)/100))</f>
        <v>27112.369789089931</v>
      </c>
      <c r="E341" s="49">
        <f>IF($A341="","",IFERROR(IF(OR(Inputs!$B$8&lt;=0,Inputs!$B$8=""),0,IF(AND($A341&gt;=Inputs!$B$8,MOD($A341,Inputs!$B$8)=0),Inputs!$B$7*(1+Inputs!$B$6/100)^$A341,0)),0))</f>
        <v>0</v>
      </c>
      <c r="F341" s="49">
        <f t="shared" si="23"/>
        <v>333160.92300120031</v>
      </c>
      <c r="G341" s="49">
        <f t="shared" si="24"/>
        <v>1</v>
      </c>
    </row>
    <row r="342" spans="1:7" ht="15" customHeight="1" x14ac:dyDescent="0.25">
      <c r="A342" s="49">
        <f>IF(35&lt;=Inputs!$B$3,35,"")</f>
        <v>35</v>
      </c>
      <c r="B342" s="49">
        <f t="shared" si="25"/>
        <v>333160.92300120031</v>
      </c>
      <c r="C342" s="49">
        <f>IF($A342="","",Inputs!$B$4*12*(1+Inputs!$B$10/100)^($A342-1))</f>
        <v>4800</v>
      </c>
      <c r="D342" s="49">
        <f>IF($A342="","",B342*((Inputs!$B$5+2)/100))</f>
        <v>29984.483070108028</v>
      </c>
      <c r="E342" s="49">
        <f>IF($A342="","",IFERROR(IF(OR(Inputs!$B$8&lt;=0,Inputs!$B$8=""),0,IF(AND($A342&gt;=Inputs!$B$8,MOD($A342,Inputs!$B$8)=0),Inputs!$B$7*(1+Inputs!$B$6/100)^$A342,0)),0))</f>
        <v>56277.249087430449</v>
      </c>
      <c r="F342" s="49">
        <f t="shared" si="23"/>
        <v>311668.15698387788</v>
      </c>
      <c r="G342" s="49">
        <f t="shared" si="24"/>
        <v>1</v>
      </c>
    </row>
    <row r="343" spans="1:7" ht="15" customHeight="1" x14ac:dyDescent="0.25">
      <c r="A343" s="49">
        <f>IF(36&lt;=Inputs!$B$3,36,"")</f>
        <v>36</v>
      </c>
      <c r="B343" s="49">
        <f t="shared" si="25"/>
        <v>311668.15698387788</v>
      </c>
      <c r="C343" s="49">
        <f>IF($A343="","",Inputs!$B$4*12*(1+Inputs!$B$10/100)^($A343-1))</f>
        <v>4800</v>
      </c>
      <c r="D343" s="49">
        <f>IF($A343="","",B343*((Inputs!$B$5+2)/100))</f>
        <v>28050.134128549009</v>
      </c>
      <c r="E343" s="49">
        <f>IF($A343="","",IFERROR(IF(OR(Inputs!$B$8&lt;=0,Inputs!$B$8=""),0,IF(AND($A343&gt;=Inputs!$B$8,MOD($A343,Inputs!$B$8)=0),Inputs!$B$7*(1+Inputs!$B$6/100)^$A343,0)),0))</f>
        <v>0</v>
      </c>
      <c r="F343" s="49">
        <f t="shared" si="23"/>
        <v>344518.2911124269</v>
      </c>
      <c r="G343" s="49">
        <f t="shared" si="24"/>
        <v>1</v>
      </c>
    </row>
    <row r="344" spans="1:7" ht="15" customHeight="1" x14ac:dyDescent="0.25">
      <c r="A344" s="49">
        <f>IF(37&lt;=Inputs!$B$3,37,"")</f>
        <v>37</v>
      </c>
      <c r="B344" s="49">
        <f t="shared" si="25"/>
        <v>344518.2911124269</v>
      </c>
      <c r="C344" s="49">
        <f>IF($A344="","",Inputs!$B$4*12*(1+Inputs!$B$10/100)^($A344-1))</f>
        <v>4800</v>
      </c>
      <c r="D344" s="49">
        <f>IF($A344="","",B344*((Inputs!$B$5+2)/100))</f>
        <v>31006.646200118419</v>
      </c>
      <c r="E344" s="49">
        <f>IF($A344="","",IFERROR(IF(OR(Inputs!$B$8&lt;=0,Inputs!$B$8=""),0,IF(AND($A344&gt;=Inputs!$B$8,MOD($A344,Inputs!$B$8)=0),Inputs!$B$7*(1+Inputs!$B$6/100)^$A344,0)),0))</f>
        <v>0</v>
      </c>
      <c r="F344" s="49">
        <f t="shared" si="23"/>
        <v>380324.93731254531</v>
      </c>
      <c r="G344" s="49">
        <f t="shared" si="24"/>
        <v>1</v>
      </c>
    </row>
    <row r="345" spans="1:7" ht="15" customHeight="1" x14ac:dyDescent="0.25">
      <c r="A345" s="49" t="str">
        <f>IF(38&lt;=Inputs!$B$3,38,"")</f>
        <v/>
      </c>
      <c r="B345" s="49" t="str">
        <f t="shared" si="25"/>
        <v/>
      </c>
      <c r="C345" s="49" t="str">
        <f>IF($A345="","",Inputs!$B$4*12*(1+Inputs!$B$10/100)^($A345-1))</f>
        <v/>
      </c>
      <c r="D345" s="49" t="str">
        <f>IF($A345="","",B345*((Inputs!$B$5+2)/100))</f>
        <v/>
      </c>
      <c r="E345" s="49" t="str">
        <f>IF($A345="","",IFERROR(IF(OR(Inputs!$B$8&lt;=0,Inputs!$B$8=""),0,IF(AND($A345&gt;=Inputs!$B$8,MOD($A345,Inputs!$B$8)=0),Inputs!$B$7*(1+Inputs!$B$6/100)^$A345,0)),0))</f>
        <v/>
      </c>
      <c r="F345" s="49" t="str">
        <f t="shared" si="23"/>
        <v/>
      </c>
      <c r="G345" s="49">
        <f t="shared" si="24"/>
        <v>0</v>
      </c>
    </row>
    <row r="346" spans="1:7" ht="15" customHeight="1" x14ac:dyDescent="0.25">
      <c r="A346" s="49" t="str">
        <f>IF(39&lt;=Inputs!$B$3,39,"")</f>
        <v/>
      </c>
      <c r="B346" s="49" t="str">
        <f t="shared" si="25"/>
        <v/>
      </c>
      <c r="C346" s="49" t="str">
        <f>IF($A346="","",Inputs!$B$4*12*(1+Inputs!$B$10/100)^($A346-1))</f>
        <v/>
      </c>
      <c r="D346" s="49" t="str">
        <f>IF($A346="","",B346*((Inputs!$B$5+2)/100))</f>
        <v/>
      </c>
      <c r="E346" s="49" t="str">
        <f>IF($A346="","",IFERROR(IF(OR(Inputs!$B$8&lt;=0,Inputs!$B$8=""),0,IF(AND($A346&gt;=Inputs!$B$8,MOD($A346,Inputs!$B$8)=0),Inputs!$B$7*(1+Inputs!$B$6/100)^$A346,0)),0))</f>
        <v/>
      </c>
      <c r="F346" s="49" t="str">
        <f t="shared" si="23"/>
        <v/>
      </c>
      <c r="G346" s="49">
        <f t="shared" si="24"/>
        <v>0</v>
      </c>
    </row>
    <row r="347" spans="1:7" ht="15" customHeight="1" x14ac:dyDescent="0.25">
      <c r="A347" s="49" t="str">
        <f>IF(40&lt;=Inputs!$B$3,40,"")</f>
        <v/>
      </c>
      <c r="B347" s="49" t="str">
        <f t="shared" si="25"/>
        <v/>
      </c>
      <c r="C347" s="49" t="str">
        <f>IF($A347="","",Inputs!$B$4*12*(1+Inputs!$B$10/100)^($A347-1))</f>
        <v/>
      </c>
      <c r="D347" s="49" t="str">
        <f>IF($A347="","",B347*((Inputs!$B$5+2)/100))</f>
        <v/>
      </c>
      <c r="E347" s="49" t="str">
        <f>IF($A347="","",IFERROR(IF(OR(Inputs!$B$8&lt;=0,Inputs!$B$8=""),0,IF(AND($A347&gt;=Inputs!$B$8,MOD($A347,Inputs!$B$8)=0),Inputs!$B$7*(1+Inputs!$B$6/100)^$A347,0)),0))</f>
        <v/>
      </c>
      <c r="F347" s="49" t="str">
        <f t="shared" si="23"/>
        <v/>
      </c>
      <c r="G347" s="49">
        <f t="shared" si="24"/>
        <v>0</v>
      </c>
    </row>
    <row r="348" spans="1:7" ht="15" customHeight="1" x14ac:dyDescent="0.25">
      <c r="A348" s="49" t="str">
        <f>IF(41&lt;=Inputs!$B$3,41,"")</f>
        <v/>
      </c>
      <c r="B348" s="49" t="str">
        <f t="shared" si="25"/>
        <v/>
      </c>
      <c r="C348" s="49" t="str">
        <f>IF($A348="","",Inputs!$B$4*12*(1+Inputs!$B$10/100)^($A348-1))</f>
        <v/>
      </c>
      <c r="D348" s="49" t="str">
        <f>IF($A348="","",B348*((Inputs!$B$5+2)/100))</f>
        <v/>
      </c>
      <c r="E348" s="49" t="str">
        <f>IF($A348="","",IFERROR(IF(OR(Inputs!$B$8&lt;=0,Inputs!$B$8=""),0,IF(AND($A348&gt;=Inputs!$B$8,MOD($A348,Inputs!$B$8)=0),Inputs!$B$7*(1+Inputs!$B$6/100)^$A348,0)),0))</f>
        <v/>
      </c>
      <c r="F348" s="49" t="str">
        <f t="shared" si="23"/>
        <v/>
      </c>
      <c r="G348" s="49">
        <f t="shared" si="24"/>
        <v>0</v>
      </c>
    </row>
    <row r="349" spans="1:7" ht="15" customHeight="1" x14ac:dyDescent="0.25">
      <c r="A349" s="49" t="str">
        <f>IF(42&lt;=Inputs!$B$3,42,"")</f>
        <v/>
      </c>
      <c r="B349" s="49" t="str">
        <f t="shared" si="25"/>
        <v/>
      </c>
      <c r="C349" s="49" t="str">
        <f>IF($A349="","",Inputs!$B$4*12*(1+Inputs!$B$10/100)^($A349-1))</f>
        <v/>
      </c>
      <c r="D349" s="49" t="str">
        <f>IF($A349="","",B349*((Inputs!$B$5+2)/100))</f>
        <v/>
      </c>
      <c r="E349" s="49" t="str">
        <f>IF($A349="","",IFERROR(IF(OR(Inputs!$B$8&lt;=0,Inputs!$B$8=""),0,IF(AND($A349&gt;=Inputs!$B$8,MOD($A349,Inputs!$B$8)=0),Inputs!$B$7*(1+Inputs!$B$6/100)^$A349,0)),0))</f>
        <v/>
      </c>
      <c r="F349" s="49" t="str">
        <f t="shared" si="23"/>
        <v/>
      </c>
      <c r="G349" s="49">
        <f t="shared" si="24"/>
        <v>0</v>
      </c>
    </row>
    <row r="350" spans="1:7" ht="15" customHeight="1" x14ac:dyDescent="0.25">
      <c r="A350" s="49" t="str">
        <f>IF(43&lt;=Inputs!$B$3,43,"")</f>
        <v/>
      </c>
      <c r="B350" s="49" t="str">
        <f t="shared" si="25"/>
        <v/>
      </c>
      <c r="C350" s="49" t="str">
        <f>IF($A350="","",Inputs!$B$4*12*(1+Inputs!$B$10/100)^($A350-1))</f>
        <v/>
      </c>
      <c r="D350" s="49" t="str">
        <f>IF($A350="","",B350*((Inputs!$B$5+2)/100))</f>
        <v/>
      </c>
      <c r="E350" s="49" t="str">
        <f>IF($A350="","",IFERROR(IF(OR(Inputs!$B$8&lt;=0,Inputs!$B$8=""),0,IF(AND($A350&gt;=Inputs!$B$8,MOD($A350,Inputs!$B$8)=0),Inputs!$B$7*(1+Inputs!$B$6/100)^$A350,0)),0))</f>
        <v/>
      </c>
      <c r="F350" s="49" t="str">
        <f t="shared" si="23"/>
        <v/>
      </c>
      <c r="G350" s="49">
        <f t="shared" si="24"/>
        <v>0</v>
      </c>
    </row>
    <row r="351" spans="1:7" ht="15" customHeight="1" x14ac:dyDescent="0.25">
      <c r="A351" s="49" t="str">
        <f>IF(44&lt;=Inputs!$B$3,44,"")</f>
        <v/>
      </c>
      <c r="B351" s="49" t="str">
        <f t="shared" si="25"/>
        <v/>
      </c>
      <c r="C351" s="49" t="str">
        <f>IF($A351="","",Inputs!$B$4*12*(1+Inputs!$B$10/100)^($A351-1))</f>
        <v/>
      </c>
      <c r="D351" s="49" t="str">
        <f>IF($A351="","",B351*((Inputs!$B$5+2)/100))</f>
        <v/>
      </c>
      <c r="E351" s="49" t="str">
        <f>IF($A351="","",IFERROR(IF(OR(Inputs!$B$8&lt;=0,Inputs!$B$8=""),0,IF(AND($A351&gt;=Inputs!$B$8,MOD($A351,Inputs!$B$8)=0),Inputs!$B$7*(1+Inputs!$B$6/100)^$A351,0)),0))</f>
        <v/>
      </c>
      <c r="F351" s="49" t="str">
        <f t="shared" si="23"/>
        <v/>
      </c>
      <c r="G351" s="49">
        <f t="shared" si="24"/>
        <v>0</v>
      </c>
    </row>
    <row r="352" spans="1:7" ht="15" customHeight="1" x14ac:dyDescent="0.25">
      <c r="A352" s="49" t="str">
        <f>IF(45&lt;=Inputs!$B$3,45,"")</f>
        <v/>
      </c>
      <c r="B352" s="49" t="str">
        <f t="shared" si="25"/>
        <v/>
      </c>
      <c r="C352" s="49" t="str">
        <f>IF($A352="","",Inputs!$B$4*12*(1+Inputs!$B$10/100)^($A352-1))</f>
        <v/>
      </c>
      <c r="D352" s="49" t="str">
        <f>IF($A352="","",B352*((Inputs!$B$5+2)/100))</f>
        <v/>
      </c>
      <c r="E352" s="49" t="str">
        <f>IF($A352="","",IFERROR(IF(OR(Inputs!$B$8&lt;=0,Inputs!$B$8=""),0,IF(AND($A352&gt;=Inputs!$B$8,MOD($A352,Inputs!$B$8)=0),Inputs!$B$7*(1+Inputs!$B$6/100)^$A352,0)),0))</f>
        <v/>
      </c>
      <c r="F352" s="49" t="str">
        <f t="shared" si="23"/>
        <v/>
      </c>
      <c r="G352" s="49">
        <f t="shared" si="24"/>
        <v>0</v>
      </c>
    </row>
    <row r="353" spans="1:7" ht="15" customHeight="1" x14ac:dyDescent="0.25">
      <c r="A353" s="49" t="str">
        <f>IF(46&lt;=Inputs!$B$3,46,"")</f>
        <v/>
      </c>
      <c r="B353" s="49" t="str">
        <f t="shared" si="25"/>
        <v/>
      </c>
      <c r="C353" s="49" t="str">
        <f>IF($A353="","",Inputs!$B$4*12*(1+Inputs!$B$10/100)^($A353-1))</f>
        <v/>
      </c>
      <c r="D353" s="49" t="str">
        <f>IF($A353="","",B353*((Inputs!$B$5+2)/100))</f>
        <v/>
      </c>
      <c r="E353" s="49" t="str">
        <f>IF($A353="","",IFERROR(IF(OR(Inputs!$B$8&lt;=0,Inputs!$B$8=""),0,IF(AND($A353&gt;=Inputs!$B$8,MOD($A353,Inputs!$B$8)=0),Inputs!$B$7*(1+Inputs!$B$6/100)^$A353,0)),0))</f>
        <v/>
      </c>
      <c r="F353" s="49" t="str">
        <f t="shared" si="23"/>
        <v/>
      </c>
      <c r="G353" s="49">
        <f t="shared" si="24"/>
        <v>0</v>
      </c>
    </row>
    <row r="354" spans="1:7" ht="15" customHeight="1" x14ac:dyDescent="0.25">
      <c r="A354" s="49" t="str">
        <f>IF(47&lt;=Inputs!$B$3,47,"")</f>
        <v/>
      </c>
      <c r="B354" s="49" t="str">
        <f t="shared" si="25"/>
        <v/>
      </c>
      <c r="C354" s="49" t="str">
        <f>IF($A354="","",Inputs!$B$4*12*(1+Inputs!$B$10/100)^($A354-1))</f>
        <v/>
      </c>
      <c r="D354" s="49" t="str">
        <f>IF($A354="","",B354*((Inputs!$B$5+2)/100))</f>
        <v/>
      </c>
      <c r="E354" s="49" t="str">
        <f>IF($A354="","",IFERROR(IF(OR(Inputs!$B$8&lt;=0,Inputs!$B$8=""),0,IF(AND($A354&gt;=Inputs!$B$8,MOD($A354,Inputs!$B$8)=0),Inputs!$B$7*(1+Inputs!$B$6/100)^$A354,0)),0))</f>
        <v/>
      </c>
      <c r="F354" s="49" t="str">
        <f t="shared" si="23"/>
        <v/>
      </c>
      <c r="G354" s="49">
        <f t="shared" si="24"/>
        <v>0</v>
      </c>
    </row>
    <row r="355" spans="1:7" ht="15" customHeight="1" x14ac:dyDescent="0.25">
      <c r="A355" s="49" t="str">
        <f>IF(48&lt;=Inputs!$B$3,48,"")</f>
        <v/>
      </c>
      <c r="B355" s="49" t="str">
        <f t="shared" si="25"/>
        <v/>
      </c>
      <c r="C355" s="49" t="str">
        <f>IF($A355="","",Inputs!$B$4*12*(1+Inputs!$B$10/100)^($A355-1))</f>
        <v/>
      </c>
      <c r="D355" s="49" t="str">
        <f>IF($A355="","",B355*((Inputs!$B$5+2)/100))</f>
        <v/>
      </c>
      <c r="E355" s="49" t="str">
        <f>IF($A355="","",IFERROR(IF(OR(Inputs!$B$8&lt;=0,Inputs!$B$8=""),0,IF(AND($A355&gt;=Inputs!$B$8,MOD($A355,Inputs!$B$8)=0),Inputs!$B$7*(1+Inputs!$B$6/100)^$A355,0)),0))</f>
        <v/>
      </c>
      <c r="F355" s="49" t="str">
        <f t="shared" si="23"/>
        <v/>
      </c>
      <c r="G355" s="49">
        <f t="shared" si="24"/>
        <v>0</v>
      </c>
    </row>
    <row r="356" spans="1:7" ht="15" customHeight="1" x14ac:dyDescent="0.25">
      <c r="A356" s="49" t="str">
        <f>IF(49&lt;=Inputs!$B$3,49,"")</f>
        <v/>
      </c>
      <c r="B356" s="49" t="str">
        <f t="shared" si="25"/>
        <v/>
      </c>
      <c r="C356" s="49" t="str">
        <f>IF($A356="","",Inputs!$B$4*12*(1+Inputs!$B$10/100)^($A356-1))</f>
        <v/>
      </c>
      <c r="D356" s="49" t="str">
        <f>IF($A356="","",B356*((Inputs!$B$5+2)/100))</f>
        <v/>
      </c>
      <c r="E356" s="49" t="str">
        <f>IF($A356="","",IFERROR(IF(OR(Inputs!$B$8&lt;=0,Inputs!$B$8=""),0,IF(AND($A356&gt;=Inputs!$B$8,MOD($A356,Inputs!$B$8)=0),Inputs!$B$7*(1+Inputs!$B$6/100)^$A356,0)),0))</f>
        <v/>
      </c>
      <c r="F356" s="49" t="str">
        <f t="shared" si="23"/>
        <v/>
      </c>
      <c r="G356" s="49">
        <f t="shared" si="24"/>
        <v>0</v>
      </c>
    </row>
    <row r="357" spans="1:7" ht="15" customHeight="1" x14ac:dyDescent="0.25">
      <c r="A357" s="49" t="str">
        <f>IF(50&lt;=Inputs!$B$3,50,"")</f>
        <v/>
      </c>
      <c r="B357" s="49" t="str">
        <f t="shared" si="25"/>
        <v/>
      </c>
      <c r="C357" s="49" t="str">
        <f>IF($A357="","",Inputs!$B$4*12*(1+Inputs!$B$10/100)^($A357-1))</f>
        <v/>
      </c>
      <c r="D357" s="49" t="str">
        <f>IF($A357="","",B357*((Inputs!$B$5+2)/100))</f>
        <v/>
      </c>
      <c r="E357" s="49" t="str">
        <f>IF($A357="","",IFERROR(IF(OR(Inputs!$B$8&lt;=0,Inputs!$B$8=""),0,IF(AND($A357&gt;=Inputs!$B$8,MOD($A357,Inputs!$B$8)=0),Inputs!$B$7*(1+Inputs!$B$6/100)^$A357,0)),0))</f>
        <v/>
      </c>
      <c r="F357" s="49" t="str">
        <f t="shared" si="23"/>
        <v/>
      </c>
      <c r="G357" s="49">
        <f t="shared" si="24"/>
        <v>0</v>
      </c>
    </row>
    <row r="358" spans="1:7" ht="15" customHeight="1" x14ac:dyDescent="0.25">
      <c r="A358" s="49" t="str">
        <f>IF(51&lt;=Inputs!$B$3,51,"")</f>
        <v/>
      </c>
      <c r="B358" s="49" t="str">
        <f t="shared" si="25"/>
        <v/>
      </c>
      <c r="C358" s="49" t="str">
        <f>IF($A358="","",Inputs!$B$4*12*(1+Inputs!$B$10/100)^($A358-1))</f>
        <v/>
      </c>
      <c r="D358" s="49" t="str">
        <f>IF($A358="","",B358*((Inputs!$B$5+2)/100))</f>
        <v/>
      </c>
      <c r="E358" s="49" t="str">
        <f>IF($A358="","",IFERROR(IF(OR(Inputs!$B$8&lt;=0,Inputs!$B$8=""),0,IF(AND($A358&gt;=Inputs!$B$8,MOD($A358,Inputs!$B$8)=0),Inputs!$B$7*(1+Inputs!$B$6/100)^$A358,0)),0))</f>
        <v/>
      </c>
      <c r="F358" s="49" t="str">
        <f t="shared" si="23"/>
        <v/>
      </c>
      <c r="G358" s="49">
        <f t="shared" si="24"/>
        <v>0</v>
      </c>
    </row>
    <row r="359" spans="1:7" ht="15" customHeight="1" x14ac:dyDescent="0.25">
      <c r="A359" s="49" t="str">
        <f>IF(52&lt;=Inputs!$B$3,52,"")</f>
        <v/>
      </c>
      <c r="B359" s="49" t="str">
        <f t="shared" si="25"/>
        <v/>
      </c>
      <c r="C359" s="49" t="str">
        <f>IF($A359="","",Inputs!$B$4*12*(1+Inputs!$B$10/100)^($A359-1))</f>
        <v/>
      </c>
      <c r="D359" s="49" t="str">
        <f>IF($A359="","",B359*((Inputs!$B$5+2)/100))</f>
        <v/>
      </c>
      <c r="E359" s="49" t="str">
        <f>IF($A359="","",IFERROR(IF(OR(Inputs!$B$8&lt;=0,Inputs!$B$8=""),0,IF(AND($A359&gt;=Inputs!$B$8,MOD($A359,Inputs!$B$8)=0),Inputs!$B$7*(1+Inputs!$B$6/100)^$A359,0)),0))</f>
        <v/>
      </c>
      <c r="F359" s="49" t="str">
        <f t="shared" si="23"/>
        <v/>
      </c>
      <c r="G359" s="49">
        <f t="shared" si="24"/>
        <v>0</v>
      </c>
    </row>
    <row r="360" spans="1:7" ht="15" customHeight="1" x14ac:dyDescent="0.25">
      <c r="A360" s="49" t="str">
        <f>IF(53&lt;=Inputs!$B$3,53,"")</f>
        <v/>
      </c>
      <c r="B360" s="49" t="str">
        <f t="shared" si="25"/>
        <v/>
      </c>
      <c r="C360" s="49" t="str">
        <f>IF($A360="","",Inputs!$B$4*12*(1+Inputs!$B$10/100)^($A360-1))</f>
        <v/>
      </c>
      <c r="D360" s="49" t="str">
        <f>IF($A360="","",B360*((Inputs!$B$5+2)/100))</f>
        <v/>
      </c>
      <c r="E360" s="49" t="str">
        <f>IF($A360="","",IFERROR(IF(OR(Inputs!$B$8&lt;=0,Inputs!$B$8=""),0,IF(AND($A360&gt;=Inputs!$B$8,MOD($A360,Inputs!$B$8)=0),Inputs!$B$7*(1+Inputs!$B$6/100)^$A360,0)),0))</f>
        <v/>
      </c>
      <c r="F360" s="49" t="str">
        <f t="shared" si="23"/>
        <v/>
      </c>
      <c r="G360" s="49">
        <f t="shared" si="24"/>
        <v>0</v>
      </c>
    </row>
    <row r="361" spans="1:7" ht="15" customHeight="1" x14ac:dyDescent="0.25">
      <c r="A361" s="49" t="str">
        <f>IF(54&lt;=Inputs!$B$3,54,"")</f>
        <v/>
      </c>
      <c r="B361" s="49" t="str">
        <f t="shared" si="25"/>
        <v/>
      </c>
      <c r="C361" s="49" t="str">
        <f>IF($A361="","",Inputs!$B$4*12*(1+Inputs!$B$10/100)^($A361-1))</f>
        <v/>
      </c>
      <c r="D361" s="49" t="str">
        <f>IF($A361="","",B361*((Inputs!$B$5+2)/100))</f>
        <v/>
      </c>
      <c r="E361" s="49" t="str">
        <f>IF($A361="","",IFERROR(IF(OR(Inputs!$B$8&lt;=0,Inputs!$B$8=""),0,IF(AND($A361&gt;=Inputs!$B$8,MOD($A361,Inputs!$B$8)=0),Inputs!$B$7*(1+Inputs!$B$6/100)^$A361,0)),0))</f>
        <v/>
      </c>
      <c r="F361" s="49" t="str">
        <f t="shared" si="23"/>
        <v/>
      </c>
      <c r="G361" s="49">
        <f t="shared" si="24"/>
        <v>0</v>
      </c>
    </row>
    <row r="362" spans="1:7" ht="15" customHeight="1" x14ac:dyDescent="0.25">
      <c r="A362" s="49" t="str">
        <f>IF(55&lt;=Inputs!$B$3,55,"")</f>
        <v/>
      </c>
      <c r="B362" s="49" t="str">
        <f t="shared" si="25"/>
        <v/>
      </c>
      <c r="C362" s="49" t="str">
        <f>IF($A362="","",Inputs!$B$4*12*(1+Inputs!$B$10/100)^($A362-1))</f>
        <v/>
      </c>
      <c r="D362" s="49" t="str">
        <f>IF($A362="","",B362*((Inputs!$B$5+2)/100))</f>
        <v/>
      </c>
      <c r="E362" s="49" t="str">
        <f>IF($A362="","",IFERROR(IF(OR(Inputs!$B$8&lt;=0,Inputs!$B$8=""),0,IF(AND($A362&gt;=Inputs!$B$8,MOD($A362,Inputs!$B$8)=0),Inputs!$B$7*(1+Inputs!$B$6/100)^$A362,0)),0))</f>
        <v/>
      </c>
      <c r="F362" s="49" t="str">
        <f t="shared" si="23"/>
        <v/>
      </c>
      <c r="G362" s="49">
        <f t="shared" si="24"/>
        <v>0</v>
      </c>
    </row>
    <row r="363" spans="1:7" ht="15" customHeight="1" x14ac:dyDescent="0.25">
      <c r="A363" s="49" t="str">
        <f>IF(56&lt;=Inputs!$B$3,56,"")</f>
        <v/>
      </c>
      <c r="B363" s="49" t="str">
        <f t="shared" si="25"/>
        <v/>
      </c>
      <c r="C363" s="49" t="str">
        <f>IF($A363="","",Inputs!$B$4*12*(1+Inputs!$B$10/100)^($A363-1))</f>
        <v/>
      </c>
      <c r="D363" s="49" t="str">
        <f>IF($A363="","",B363*((Inputs!$B$5+2)/100))</f>
        <v/>
      </c>
      <c r="E363" s="49" t="str">
        <f>IF($A363="","",IFERROR(IF(OR(Inputs!$B$8&lt;=0,Inputs!$B$8=""),0,IF(AND($A363&gt;=Inputs!$B$8,MOD($A363,Inputs!$B$8)=0),Inputs!$B$7*(1+Inputs!$B$6/100)^$A363,0)),0))</f>
        <v/>
      </c>
      <c r="F363" s="49" t="str">
        <f t="shared" si="23"/>
        <v/>
      </c>
      <c r="G363" s="49">
        <f t="shared" si="24"/>
        <v>0</v>
      </c>
    </row>
    <row r="364" spans="1:7" ht="15" customHeight="1" x14ac:dyDescent="0.25">
      <c r="A364" s="49" t="str">
        <f>IF(57&lt;=Inputs!$B$3,57,"")</f>
        <v/>
      </c>
      <c r="B364" s="49" t="str">
        <f t="shared" si="25"/>
        <v/>
      </c>
      <c r="C364" s="49" t="str">
        <f>IF($A364="","",Inputs!$B$4*12*(1+Inputs!$B$10/100)^($A364-1))</f>
        <v/>
      </c>
      <c r="D364" s="49" t="str">
        <f>IF($A364="","",B364*((Inputs!$B$5+2)/100))</f>
        <v/>
      </c>
      <c r="E364" s="49" t="str">
        <f>IF($A364="","",IFERROR(IF(OR(Inputs!$B$8&lt;=0,Inputs!$B$8=""),0,IF(AND($A364&gt;=Inputs!$B$8,MOD($A364,Inputs!$B$8)=0),Inputs!$B$7*(1+Inputs!$B$6/100)^$A364,0)),0))</f>
        <v/>
      </c>
      <c r="F364" s="49" t="str">
        <f t="shared" si="23"/>
        <v/>
      </c>
      <c r="G364" s="49">
        <f t="shared" si="24"/>
        <v>0</v>
      </c>
    </row>
    <row r="365" spans="1:7" ht="15" customHeight="1" x14ac:dyDescent="0.25">
      <c r="A365" s="49" t="str">
        <f>IF(58&lt;=Inputs!$B$3,58,"")</f>
        <v/>
      </c>
      <c r="B365" s="49" t="str">
        <f t="shared" si="25"/>
        <v/>
      </c>
      <c r="C365" s="49" t="str">
        <f>IF($A365="","",Inputs!$B$4*12*(1+Inputs!$B$10/100)^($A365-1))</f>
        <v/>
      </c>
      <c r="D365" s="49" t="str">
        <f>IF($A365="","",B365*((Inputs!$B$5+2)/100))</f>
        <v/>
      </c>
      <c r="E365" s="49" t="str">
        <f>IF($A365="","",IFERROR(IF(OR(Inputs!$B$8&lt;=0,Inputs!$B$8=""),0,IF(AND($A365&gt;=Inputs!$B$8,MOD($A365,Inputs!$B$8)=0),Inputs!$B$7*(1+Inputs!$B$6/100)^$A365,0)),0))</f>
        <v/>
      </c>
      <c r="F365" s="49" t="str">
        <f t="shared" si="23"/>
        <v/>
      </c>
      <c r="G365" s="49">
        <f t="shared" si="24"/>
        <v>0</v>
      </c>
    </row>
    <row r="366" spans="1:7" ht="15" customHeight="1" x14ac:dyDescent="0.25">
      <c r="A366" s="49" t="str">
        <f>IF(59&lt;=Inputs!$B$3,59,"")</f>
        <v/>
      </c>
      <c r="B366" s="49" t="str">
        <f t="shared" si="25"/>
        <v/>
      </c>
      <c r="C366" s="49" t="str">
        <f>IF($A366="","",Inputs!$B$4*12*(1+Inputs!$B$10/100)^($A366-1))</f>
        <v/>
      </c>
      <c r="D366" s="49" t="str">
        <f>IF($A366="","",B366*((Inputs!$B$5+2)/100))</f>
        <v/>
      </c>
      <c r="E366" s="49" t="str">
        <f>IF($A366="","",IFERROR(IF(OR(Inputs!$B$8&lt;=0,Inputs!$B$8=""),0,IF(AND($A366&gt;=Inputs!$B$8,MOD($A366,Inputs!$B$8)=0),Inputs!$B$7*(1+Inputs!$B$6/100)^$A366,0)),0))</f>
        <v/>
      </c>
      <c r="F366" s="49" t="str">
        <f t="shared" si="23"/>
        <v/>
      </c>
      <c r="G366" s="49">
        <f t="shared" si="24"/>
        <v>0</v>
      </c>
    </row>
    <row r="367" spans="1:7" ht="15" customHeight="1" x14ac:dyDescent="0.25">
      <c r="A367" s="49" t="str">
        <f>IF(60&lt;=Inputs!$B$3,60,"")</f>
        <v/>
      </c>
      <c r="B367" s="49" t="str">
        <f t="shared" si="25"/>
        <v/>
      </c>
      <c r="C367" s="49" t="str">
        <f>IF($A367="","",Inputs!$B$4*12*(1+Inputs!$B$10/100)^($A367-1))</f>
        <v/>
      </c>
      <c r="D367" s="49" t="str">
        <f>IF($A367="","",B367*((Inputs!$B$5+2)/100))</f>
        <v/>
      </c>
      <c r="E367" s="49" t="str">
        <f>IF($A367="","",IFERROR(IF(OR(Inputs!$B$8&lt;=0,Inputs!$B$8=""),0,IF(AND($A367&gt;=Inputs!$B$8,MOD($A367,Inputs!$B$8)=0),Inputs!$B$7*(1+Inputs!$B$6/100)^$A367,0)),0))</f>
        <v/>
      </c>
      <c r="F367" s="49" t="str">
        <f t="shared" si="23"/>
        <v/>
      </c>
      <c r="G367" s="49">
        <f t="shared" si="24"/>
        <v>0</v>
      </c>
    </row>
    <row r="368" spans="1:7" ht="15" customHeight="1" x14ac:dyDescent="0.25">
      <c r="A368" s="49" t="str">
        <f>IF(61&lt;=Inputs!$B$3,61,"")</f>
        <v/>
      </c>
      <c r="B368" s="49" t="str">
        <f t="shared" si="25"/>
        <v/>
      </c>
      <c r="C368" s="49" t="str">
        <f>IF($A368="","",Inputs!$B$4*12*(1+Inputs!$B$10/100)^($A368-1))</f>
        <v/>
      </c>
      <c r="D368" s="49" t="str">
        <f>IF($A368="","",B368*((Inputs!$B$5+2)/100))</f>
        <v/>
      </c>
      <c r="E368" s="49" t="str">
        <f>IF($A368="","",IFERROR(IF(OR(Inputs!$B$8&lt;=0,Inputs!$B$8=""),0,IF(AND($A368&gt;=Inputs!$B$8,MOD($A368,Inputs!$B$8)=0),Inputs!$B$7*(1+Inputs!$B$6/100)^$A368,0)),0))</f>
        <v/>
      </c>
      <c r="F368" s="49" t="str">
        <f t="shared" si="23"/>
        <v/>
      </c>
      <c r="G368" s="49">
        <f t="shared" si="24"/>
        <v>0</v>
      </c>
    </row>
    <row r="369" spans="1:7" ht="15" customHeight="1" x14ac:dyDescent="0.25">
      <c r="A369" s="49" t="str">
        <f>IF(62&lt;=Inputs!$B$3,62,"")</f>
        <v/>
      </c>
      <c r="B369" s="49" t="str">
        <f t="shared" si="25"/>
        <v/>
      </c>
      <c r="C369" s="49" t="str">
        <f>IF($A369="","",Inputs!$B$4*12*(1+Inputs!$B$10/100)^($A369-1))</f>
        <v/>
      </c>
      <c r="D369" s="49" t="str">
        <f>IF($A369="","",B369*((Inputs!$B$5+2)/100))</f>
        <v/>
      </c>
      <c r="E369" s="49" t="str">
        <f>IF($A369="","",IFERROR(IF(OR(Inputs!$B$8&lt;=0,Inputs!$B$8=""),0,IF(AND($A369&gt;=Inputs!$B$8,MOD($A369,Inputs!$B$8)=0),Inputs!$B$7*(1+Inputs!$B$6/100)^$A369,0)),0))</f>
        <v/>
      </c>
      <c r="F369" s="49" t="str">
        <f t="shared" si="23"/>
        <v/>
      </c>
      <c r="G369" s="49">
        <f t="shared" si="24"/>
        <v>0</v>
      </c>
    </row>
    <row r="370" spans="1:7" ht="15" customHeight="1" x14ac:dyDescent="0.25">
      <c r="A370" s="49" t="str">
        <f>IF(63&lt;=Inputs!$B$3,63,"")</f>
        <v/>
      </c>
      <c r="B370" s="49" t="str">
        <f t="shared" si="25"/>
        <v/>
      </c>
      <c r="C370" s="49" t="str">
        <f>IF($A370="","",Inputs!$B$4*12*(1+Inputs!$B$10/100)^($A370-1))</f>
        <v/>
      </c>
      <c r="D370" s="49" t="str">
        <f>IF($A370="","",B370*((Inputs!$B$5+2)/100))</f>
        <v/>
      </c>
      <c r="E370" s="49" t="str">
        <f>IF($A370="","",IFERROR(IF(OR(Inputs!$B$8&lt;=0,Inputs!$B$8=""),0,IF(AND($A370&gt;=Inputs!$B$8,MOD($A370,Inputs!$B$8)=0),Inputs!$B$7*(1+Inputs!$B$6/100)^$A370,0)),0))</f>
        <v/>
      </c>
      <c r="F370" s="49" t="str">
        <f t="shared" si="23"/>
        <v/>
      </c>
      <c r="G370" s="49">
        <f t="shared" si="24"/>
        <v>0</v>
      </c>
    </row>
    <row r="371" spans="1:7" ht="15" customHeight="1" x14ac:dyDescent="0.25">
      <c r="A371" s="49" t="str">
        <f>IF(64&lt;=Inputs!$B$3,64,"")</f>
        <v/>
      </c>
      <c r="B371" s="49" t="str">
        <f t="shared" si="25"/>
        <v/>
      </c>
      <c r="C371" s="49" t="str">
        <f>IF($A371="","",Inputs!$B$4*12*(1+Inputs!$B$10/100)^($A371-1))</f>
        <v/>
      </c>
      <c r="D371" s="49" t="str">
        <f>IF($A371="","",B371*((Inputs!$B$5+2)/100))</f>
        <v/>
      </c>
      <c r="E371" s="49" t="str">
        <f>IF($A371="","",IFERROR(IF(OR(Inputs!$B$8&lt;=0,Inputs!$B$8=""),0,IF(AND($A371&gt;=Inputs!$B$8,MOD($A371,Inputs!$B$8)=0),Inputs!$B$7*(1+Inputs!$B$6/100)^$A371,0)),0))</f>
        <v/>
      </c>
      <c r="F371" s="49" t="str">
        <f t="shared" si="23"/>
        <v/>
      </c>
      <c r="G371" s="49">
        <f t="shared" si="24"/>
        <v>0</v>
      </c>
    </row>
    <row r="372" spans="1:7" ht="15" customHeight="1" x14ac:dyDescent="0.25">
      <c r="A372" s="49" t="str">
        <f>IF(65&lt;=Inputs!$B$3,65,"")</f>
        <v/>
      </c>
      <c r="B372" s="49" t="str">
        <f t="shared" si="25"/>
        <v/>
      </c>
      <c r="C372" s="49" t="str">
        <f>IF($A372="","",Inputs!$B$4*12*(1+Inputs!$B$10/100)^($A372-1))</f>
        <v/>
      </c>
      <c r="D372" s="49" t="str">
        <f>IF($A372="","",B372*((Inputs!$B$5+2)/100))</f>
        <v/>
      </c>
      <c r="E372" s="49" t="str">
        <f>IF($A372="","",IFERROR(IF(OR(Inputs!$B$8&lt;=0,Inputs!$B$8=""),0,IF(AND($A372&gt;=Inputs!$B$8,MOD($A372,Inputs!$B$8)=0),Inputs!$B$7*(1+Inputs!$B$6/100)^$A372,0)),0))</f>
        <v/>
      </c>
      <c r="F372" s="49" t="str">
        <f t="shared" ref="F372:F403" si="26">IF($A372="","",B372+C372+D372-E372)</f>
        <v/>
      </c>
      <c r="G372" s="49">
        <f t="shared" ref="G372:G407" si="27">IF($A372="",0,IF(D372&gt;C372,1,0))</f>
        <v>0</v>
      </c>
    </row>
    <row r="373" spans="1:7" ht="15" customHeight="1" x14ac:dyDescent="0.25">
      <c r="A373" s="49" t="str">
        <f>IF(66&lt;=Inputs!$B$3,66,"")</f>
        <v/>
      </c>
      <c r="B373" s="49" t="str">
        <f t="shared" ref="B373:B407" si="28">IF($A373="","",F372)</f>
        <v/>
      </c>
      <c r="C373" s="49" t="str">
        <f>IF($A373="","",Inputs!$B$4*12*(1+Inputs!$B$10/100)^($A373-1))</f>
        <v/>
      </c>
      <c r="D373" s="49" t="str">
        <f>IF($A373="","",B373*((Inputs!$B$5+2)/100))</f>
        <v/>
      </c>
      <c r="E373" s="49" t="str">
        <f>IF($A373="","",IFERROR(IF(OR(Inputs!$B$8&lt;=0,Inputs!$B$8=""),0,IF(AND($A373&gt;=Inputs!$B$8,MOD($A373,Inputs!$B$8)=0),Inputs!$B$7*(1+Inputs!$B$6/100)^$A373,0)),0))</f>
        <v/>
      </c>
      <c r="F373" s="49" t="str">
        <f t="shared" si="26"/>
        <v/>
      </c>
      <c r="G373" s="49">
        <f t="shared" si="27"/>
        <v>0</v>
      </c>
    </row>
    <row r="374" spans="1:7" ht="15" customHeight="1" x14ac:dyDescent="0.25">
      <c r="A374" s="49" t="str">
        <f>IF(67&lt;=Inputs!$B$3,67,"")</f>
        <v/>
      </c>
      <c r="B374" s="49" t="str">
        <f t="shared" si="28"/>
        <v/>
      </c>
      <c r="C374" s="49" t="str">
        <f>IF($A374="","",Inputs!$B$4*12*(1+Inputs!$B$10/100)^($A374-1))</f>
        <v/>
      </c>
      <c r="D374" s="49" t="str">
        <f>IF($A374="","",B374*((Inputs!$B$5+2)/100))</f>
        <v/>
      </c>
      <c r="E374" s="49" t="str">
        <f>IF($A374="","",IFERROR(IF(OR(Inputs!$B$8&lt;=0,Inputs!$B$8=""),0,IF(AND($A374&gt;=Inputs!$B$8,MOD($A374,Inputs!$B$8)=0),Inputs!$B$7*(1+Inputs!$B$6/100)^$A374,0)),0))</f>
        <v/>
      </c>
      <c r="F374" s="49" t="str">
        <f t="shared" si="26"/>
        <v/>
      </c>
      <c r="G374" s="49">
        <f t="shared" si="27"/>
        <v>0</v>
      </c>
    </row>
    <row r="375" spans="1:7" ht="15" customHeight="1" x14ac:dyDescent="0.25">
      <c r="A375" s="49" t="str">
        <f>IF(68&lt;=Inputs!$B$3,68,"")</f>
        <v/>
      </c>
      <c r="B375" s="49" t="str">
        <f t="shared" si="28"/>
        <v/>
      </c>
      <c r="C375" s="49" t="str">
        <f>IF($A375="","",Inputs!$B$4*12*(1+Inputs!$B$10/100)^($A375-1))</f>
        <v/>
      </c>
      <c r="D375" s="49" t="str">
        <f>IF($A375="","",B375*((Inputs!$B$5+2)/100))</f>
        <v/>
      </c>
      <c r="E375" s="49" t="str">
        <f>IF($A375="","",IFERROR(IF(OR(Inputs!$B$8&lt;=0,Inputs!$B$8=""),0,IF(AND($A375&gt;=Inputs!$B$8,MOD($A375,Inputs!$B$8)=0),Inputs!$B$7*(1+Inputs!$B$6/100)^$A375,0)),0))</f>
        <v/>
      </c>
      <c r="F375" s="49" t="str">
        <f t="shared" si="26"/>
        <v/>
      </c>
      <c r="G375" s="49">
        <f t="shared" si="27"/>
        <v>0</v>
      </c>
    </row>
    <row r="376" spans="1:7" ht="15" customHeight="1" x14ac:dyDescent="0.25">
      <c r="A376" s="49" t="str">
        <f>IF(69&lt;=Inputs!$B$3,69,"")</f>
        <v/>
      </c>
      <c r="B376" s="49" t="str">
        <f t="shared" si="28"/>
        <v/>
      </c>
      <c r="C376" s="49" t="str">
        <f>IF($A376="","",Inputs!$B$4*12*(1+Inputs!$B$10/100)^($A376-1))</f>
        <v/>
      </c>
      <c r="D376" s="49" t="str">
        <f>IF($A376="","",B376*((Inputs!$B$5+2)/100))</f>
        <v/>
      </c>
      <c r="E376" s="49" t="str">
        <f>IF($A376="","",IFERROR(IF(OR(Inputs!$B$8&lt;=0,Inputs!$B$8=""),0,IF(AND($A376&gt;=Inputs!$B$8,MOD($A376,Inputs!$B$8)=0),Inputs!$B$7*(1+Inputs!$B$6/100)^$A376,0)),0))</f>
        <v/>
      </c>
      <c r="F376" s="49" t="str">
        <f t="shared" si="26"/>
        <v/>
      </c>
      <c r="G376" s="49">
        <f t="shared" si="27"/>
        <v>0</v>
      </c>
    </row>
    <row r="377" spans="1:7" ht="15" customHeight="1" x14ac:dyDescent="0.25">
      <c r="A377" s="49" t="str">
        <f>IF(70&lt;=Inputs!$B$3,70,"")</f>
        <v/>
      </c>
      <c r="B377" s="49" t="str">
        <f t="shared" si="28"/>
        <v/>
      </c>
      <c r="C377" s="49" t="str">
        <f>IF($A377="","",Inputs!$B$4*12*(1+Inputs!$B$10/100)^($A377-1))</f>
        <v/>
      </c>
      <c r="D377" s="49" t="str">
        <f>IF($A377="","",B377*((Inputs!$B$5+2)/100))</f>
        <v/>
      </c>
      <c r="E377" s="49" t="str">
        <f>IF($A377="","",IFERROR(IF(OR(Inputs!$B$8&lt;=0,Inputs!$B$8=""),0,IF(AND($A377&gt;=Inputs!$B$8,MOD($A377,Inputs!$B$8)=0),Inputs!$B$7*(1+Inputs!$B$6/100)^$A377,0)),0))</f>
        <v/>
      </c>
      <c r="F377" s="49" t="str">
        <f t="shared" si="26"/>
        <v/>
      </c>
      <c r="G377" s="49">
        <f t="shared" si="27"/>
        <v>0</v>
      </c>
    </row>
    <row r="378" spans="1:7" ht="15" customHeight="1" x14ac:dyDescent="0.25">
      <c r="A378" s="49" t="str">
        <f>IF(71&lt;=Inputs!$B$3,71,"")</f>
        <v/>
      </c>
      <c r="B378" s="49" t="str">
        <f t="shared" si="28"/>
        <v/>
      </c>
      <c r="C378" s="49" t="str">
        <f>IF($A378="","",Inputs!$B$4*12*(1+Inputs!$B$10/100)^($A378-1))</f>
        <v/>
      </c>
      <c r="D378" s="49" t="str">
        <f>IF($A378="","",B378*((Inputs!$B$5+2)/100))</f>
        <v/>
      </c>
      <c r="E378" s="49" t="str">
        <f>IF($A378="","",IFERROR(IF(OR(Inputs!$B$8&lt;=0,Inputs!$B$8=""),0,IF(AND($A378&gt;=Inputs!$B$8,MOD($A378,Inputs!$B$8)=0),Inputs!$B$7*(1+Inputs!$B$6/100)^$A378,0)),0))</f>
        <v/>
      </c>
      <c r="F378" s="49" t="str">
        <f t="shared" si="26"/>
        <v/>
      </c>
      <c r="G378" s="49">
        <f t="shared" si="27"/>
        <v>0</v>
      </c>
    </row>
    <row r="379" spans="1:7" ht="15" customHeight="1" x14ac:dyDescent="0.25">
      <c r="A379" s="49" t="str">
        <f>IF(72&lt;=Inputs!$B$3,72,"")</f>
        <v/>
      </c>
      <c r="B379" s="49" t="str">
        <f t="shared" si="28"/>
        <v/>
      </c>
      <c r="C379" s="49" t="str">
        <f>IF($A379="","",Inputs!$B$4*12*(1+Inputs!$B$10/100)^($A379-1))</f>
        <v/>
      </c>
      <c r="D379" s="49" t="str">
        <f>IF($A379="","",B379*((Inputs!$B$5+2)/100))</f>
        <v/>
      </c>
      <c r="E379" s="49" t="str">
        <f>IF($A379="","",IFERROR(IF(OR(Inputs!$B$8&lt;=0,Inputs!$B$8=""),0,IF(AND($A379&gt;=Inputs!$B$8,MOD($A379,Inputs!$B$8)=0),Inputs!$B$7*(1+Inputs!$B$6/100)^$A379,0)),0))</f>
        <v/>
      </c>
      <c r="F379" s="49" t="str">
        <f t="shared" si="26"/>
        <v/>
      </c>
      <c r="G379" s="49">
        <f t="shared" si="27"/>
        <v>0</v>
      </c>
    </row>
    <row r="380" spans="1:7" ht="15" customHeight="1" x14ac:dyDescent="0.25">
      <c r="A380" s="49" t="str">
        <f>IF(73&lt;=Inputs!$B$3,73,"")</f>
        <v/>
      </c>
      <c r="B380" s="49" t="str">
        <f t="shared" si="28"/>
        <v/>
      </c>
      <c r="C380" s="49" t="str">
        <f>IF($A380="","",Inputs!$B$4*12*(1+Inputs!$B$10/100)^($A380-1))</f>
        <v/>
      </c>
      <c r="D380" s="49" t="str">
        <f>IF($A380="","",B380*((Inputs!$B$5+2)/100))</f>
        <v/>
      </c>
      <c r="E380" s="49" t="str">
        <f>IF($A380="","",IFERROR(IF(OR(Inputs!$B$8&lt;=0,Inputs!$B$8=""),0,IF(AND($A380&gt;=Inputs!$B$8,MOD($A380,Inputs!$B$8)=0),Inputs!$B$7*(1+Inputs!$B$6/100)^$A380,0)),0))</f>
        <v/>
      </c>
      <c r="F380" s="49" t="str">
        <f t="shared" si="26"/>
        <v/>
      </c>
      <c r="G380" s="49">
        <f t="shared" si="27"/>
        <v>0</v>
      </c>
    </row>
    <row r="381" spans="1:7" ht="15" customHeight="1" x14ac:dyDescent="0.25">
      <c r="A381" s="49" t="str">
        <f>IF(74&lt;=Inputs!$B$3,74,"")</f>
        <v/>
      </c>
      <c r="B381" s="49" t="str">
        <f t="shared" si="28"/>
        <v/>
      </c>
      <c r="C381" s="49" t="str">
        <f>IF($A381="","",Inputs!$B$4*12*(1+Inputs!$B$10/100)^($A381-1))</f>
        <v/>
      </c>
      <c r="D381" s="49" t="str">
        <f>IF($A381="","",B381*((Inputs!$B$5+2)/100))</f>
        <v/>
      </c>
      <c r="E381" s="49" t="str">
        <f>IF($A381="","",IFERROR(IF(OR(Inputs!$B$8&lt;=0,Inputs!$B$8=""),0,IF(AND($A381&gt;=Inputs!$B$8,MOD($A381,Inputs!$B$8)=0),Inputs!$B$7*(1+Inputs!$B$6/100)^$A381,0)),0))</f>
        <v/>
      </c>
      <c r="F381" s="49" t="str">
        <f t="shared" si="26"/>
        <v/>
      </c>
      <c r="G381" s="49">
        <f t="shared" si="27"/>
        <v>0</v>
      </c>
    </row>
    <row r="382" spans="1:7" ht="15" customHeight="1" x14ac:dyDescent="0.25">
      <c r="A382" s="49" t="str">
        <f>IF(75&lt;=Inputs!$B$3,75,"")</f>
        <v/>
      </c>
      <c r="B382" s="49" t="str">
        <f t="shared" si="28"/>
        <v/>
      </c>
      <c r="C382" s="49" t="str">
        <f>IF($A382="","",Inputs!$B$4*12*(1+Inputs!$B$10/100)^($A382-1))</f>
        <v/>
      </c>
      <c r="D382" s="49" t="str">
        <f>IF($A382="","",B382*((Inputs!$B$5+2)/100))</f>
        <v/>
      </c>
      <c r="E382" s="49" t="str">
        <f>IF($A382="","",IFERROR(IF(OR(Inputs!$B$8&lt;=0,Inputs!$B$8=""),0,IF(AND($A382&gt;=Inputs!$B$8,MOD($A382,Inputs!$B$8)=0),Inputs!$B$7*(1+Inputs!$B$6/100)^$A382,0)),0))</f>
        <v/>
      </c>
      <c r="F382" s="49" t="str">
        <f t="shared" si="26"/>
        <v/>
      </c>
      <c r="G382" s="49">
        <f t="shared" si="27"/>
        <v>0</v>
      </c>
    </row>
    <row r="383" spans="1:7" ht="15" customHeight="1" x14ac:dyDescent="0.25">
      <c r="A383" s="49" t="str">
        <f>IF(76&lt;=Inputs!$B$3,76,"")</f>
        <v/>
      </c>
      <c r="B383" s="49" t="str">
        <f t="shared" si="28"/>
        <v/>
      </c>
      <c r="C383" s="49" t="str">
        <f>IF($A383="","",Inputs!$B$4*12*(1+Inputs!$B$10/100)^($A383-1))</f>
        <v/>
      </c>
      <c r="D383" s="49" t="str">
        <f>IF($A383="","",B383*((Inputs!$B$5+2)/100))</f>
        <v/>
      </c>
      <c r="E383" s="49" t="str">
        <f>IF($A383="","",IFERROR(IF(OR(Inputs!$B$8&lt;=0,Inputs!$B$8=""),0,IF(AND($A383&gt;=Inputs!$B$8,MOD($A383,Inputs!$B$8)=0),Inputs!$B$7*(1+Inputs!$B$6/100)^$A383,0)),0))</f>
        <v/>
      </c>
      <c r="F383" s="49" t="str">
        <f t="shared" si="26"/>
        <v/>
      </c>
      <c r="G383" s="49">
        <f t="shared" si="27"/>
        <v>0</v>
      </c>
    </row>
    <row r="384" spans="1:7" ht="15" customHeight="1" x14ac:dyDescent="0.25">
      <c r="A384" s="49" t="str">
        <f>IF(77&lt;=Inputs!$B$3,77,"")</f>
        <v/>
      </c>
      <c r="B384" s="49" t="str">
        <f t="shared" si="28"/>
        <v/>
      </c>
      <c r="C384" s="49" t="str">
        <f>IF($A384="","",Inputs!$B$4*12*(1+Inputs!$B$10/100)^($A384-1))</f>
        <v/>
      </c>
      <c r="D384" s="49" t="str">
        <f>IF($A384="","",B384*((Inputs!$B$5+2)/100))</f>
        <v/>
      </c>
      <c r="E384" s="49" t="str">
        <f>IF($A384="","",IFERROR(IF(OR(Inputs!$B$8&lt;=0,Inputs!$B$8=""),0,IF(AND($A384&gt;=Inputs!$B$8,MOD($A384,Inputs!$B$8)=0),Inputs!$B$7*(1+Inputs!$B$6/100)^$A384,0)),0))</f>
        <v/>
      </c>
      <c r="F384" s="49" t="str">
        <f t="shared" si="26"/>
        <v/>
      </c>
      <c r="G384" s="49">
        <f t="shared" si="27"/>
        <v>0</v>
      </c>
    </row>
    <row r="385" spans="1:7" ht="15" customHeight="1" x14ac:dyDescent="0.25">
      <c r="A385" s="49" t="str">
        <f>IF(78&lt;=Inputs!$B$3,78,"")</f>
        <v/>
      </c>
      <c r="B385" s="49" t="str">
        <f t="shared" si="28"/>
        <v/>
      </c>
      <c r="C385" s="49" t="str">
        <f>IF($A385="","",Inputs!$B$4*12*(1+Inputs!$B$10/100)^($A385-1))</f>
        <v/>
      </c>
      <c r="D385" s="49" t="str">
        <f>IF($A385="","",B385*((Inputs!$B$5+2)/100))</f>
        <v/>
      </c>
      <c r="E385" s="49" t="str">
        <f>IF($A385="","",IFERROR(IF(OR(Inputs!$B$8&lt;=0,Inputs!$B$8=""),0,IF(AND($A385&gt;=Inputs!$B$8,MOD($A385,Inputs!$B$8)=0),Inputs!$B$7*(1+Inputs!$B$6/100)^$A385,0)),0))</f>
        <v/>
      </c>
      <c r="F385" s="49" t="str">
        <f t="shared" si="26"/>
        <v/>
      </c>
      <c r="G385" s="49">
        <f t="shared" si="27"/>
        <v>0</v>
      </c>
    </row>
    <row r="386" spans="1:7" ht="15" customHeight="1" x14ac:dyDescent="0.25">
      <c r="A386" s="49" t="str">
        <f>IF(79&lt;=Inputs!$B$3,79,"")</f>
        <v/>
      </c>
      <c r="B386" s="49" t="str">
        <f t="shared" si="28"/>
        <v/>
      </c>
      <c r="C386" s="49" t="str">
        <f>IF($A386="","",Inputs!$B$4*12*(1+Inputs!$B$10/100)^($A386-1))</f>
        <v/>
      </c>
      <c r="D386" s="49" t="str">
        <f>IF($A386="","",B386*((Inputs!$B$5+2)/100))</f>
        <v/>
      </c>
      <c r="E386" s="49" t="str">
        <f>IF($A386="","",IFERROR(IF(OR(Inputs!$B$8&lt;=0,Inputs!$B$8=""),0,IF(AND($A386&gt;=Inputs!$B$8,MOD($A386,Inputs!$B$8)=0),Inputs!$B$7*(1+Inputs!$B$6/100)^$A386,0)),0))</f>
        <v/>
      </c>
      <c r="F386" s="49" t="str">
        <f t="shared" si="26"/>
        <v/>
      </c>
      <c r="G386" s="49">
        <f t="shared" si="27"/>
        <v>0</v>
      </c>
    </row>
    <row r="387" spans="1:7" ht="15" customHeight="1" x14ac:dyDescent="0.25">
      <c r="A387" s="49" t="str">
        <f>IF(80&lt;=Inputs!$B$3,80,"")</f>
        <v/>
      </c>
      <c r="B387" s="49" t="str">
        <f t="shared" si="28"/>
        <v/>
      </c>
      <c r="C387" s="49" t="str">
        <f>IF($A387="","",Inputs!$B$4*12*(1+Inputs!$B$10/100)^($A387-1))</f>
        <v/>
      </c>
      <c r="D387" s="49" t="str">
        <f>IF($A387="","",B387*((Inputs!$B$5+2)/100))</f>
        <v/>
      </c>
      <c r="E387" s="49" t="str">
        <f>IF($A387="","",IFERROR(IF(OR(Inputs!$B$8&lt;=0,Inputs!$B$8=""),0,IF(AND($A387&gt;=Inputs!$B$8,MOD($A387,Inputs!$B$8)=0),Inputs!$B$7*(1+Inputs!$B$6/100)^$A387,0)),0))</f>
        <v/>
      </c>
      <c r="F387" s="49" t="str">
        <f t="shared" si="26"/>
        <v/>
      </c>
      <c r="G387" s="49">
        <f t="shared" si="27"/>
        <v>0</v>
      </c>
    </row>
    <row r="388" spans="1:7" ht="15" customHeight="1" x14ac:dyDescent="0.25">
      <c r="A388" s="49" t="str">
        <f>IF(81&lt;=Inputs!$B$3,81,"")</f>
        <v/>
      </c>
      <c r="B388" s="49" t="str">
        <f t="shared" si="28"/>
        <v/>
      </c>
      <c r="C388" s="49" t="str">
        <f>IF($A388="","",Inputs!$B$4*12*(1+Inputs!$B$10/100)^($A388-1))</f>
        <v/>
      </c>
      <c r="D388" s="49" t="str">
        <f>IF($A388="","",B388*((Inputs!$B$5+2)/100))</f>
        <v/>
      </c>
      <c r="E388" s="49" t="str">
        <f>IF($A388="","",IFERROR(IF(OR(Inputs!$B$8&lt;=0,Inputs!$B$8=""),0,IF(AND($A388&gt;=Inputs!$B$8,MOD($A388,Inputs!$B$8)=0),Inputs!$B$7*(1+Inputs!$B$6/100)^$A388,0)),0))</f>
        <v/>
      </c>
      <c r="F388" s="49" t="str">
        <f t="shared" si="26"/>
        <v/>
      </c>
      <c r="G388" s="49">
        <f t="shared" si="27"/>
        <v>0</v>
      </c>
    </row>
    <row r="389" spans="1:7" ht="15" customHeight="1" x14ac:dyDescent="0.25">
      <c r="A389" s="49" t="str">
        <f>IF(82&lt;=Inputs!$B$3,82,"")</f>
        <v/>
      </c>
      <c r="B389" s="49" t="str">
        <f t="shared" si="28"/>
        <v/>
      </c>
      <c r="C389" s="49" t="str">
        <f>IF($A389="","",Inputs!$B$4*12*(1+Inputs!$B$10/100)^($A389-1))</f>
        <v/>
      </c>
      <c r="D389" s="49" t="str">
        <f>IF($A389="","",B389*((Inputs!$B$5+2)/100))</f>
        <v/>
      </c>
      <c r="E389" s="49" t="str">
        <f>IF($A389="","",IFERROR(IF(OR(Inputs!$B$8&lt;=0,Inputs!$B$8=""),0,IF(AND($A389&gt;=Inputs!$B$8,MOD($A389,Inputs!$B$8)=0),Inputs!$B$7*(1+Inputs!$B$6/100)^$A389,0)),0))</f>
        <v/>
      </c>
      <c r="F389" s="49" t="str">
        <f t="shared" si="26"/>
        <v/>
      </c>
      <c r="G389" s="49">
        <f t="shared" si="27"/>
        <v>0</v>
      </c>
    </row>
    <row r="390" spans="1:7" ht="15" customHeight="1" x14ac:dyDescent="0.25">
      <c r="A390" s="49" t="str">
        <f>IF(83&lt;=Inputs!$B$3,83,"")</f>
        <v/>
      </c>
      <c r="B390" s="49" t="str">
        <f t="shared" si="28"/>
        <v/>
      </c>
      <c r="C390" s="49" t="str">
        <f>IF($A390="","",Inputs!$B$4*12*(1+Inputs!$B$10/100)^($A390-1))</f>
        <v/>
      </c>
      <c r="D390" s="49" t="str">
        <f>IF($A390="","",B390*((Inputs!$B$5+2)/100))</f>
        <v/>
      </c>
      <c r="E390" s="49" t="str">
        <f>IF($A390="","",IFERROR(IF(OR(Inputs!$B$8&lt;=0,Inputs!$B$8=""),0,IF(AND($A390&gt;=Inputs!$B$8,MOD($A390,Inputs!$B$8)=0),Inputs!$B$7*(1+Inputs!$B$6/100)^$A390,0)),0))</f>
        <v/>
      </c>
      <c r="F390" s="49" t="str">
        <f t="shared" si="26"/>
        <v/>
      </c>
      <c r="G390" s="49">
        <f t="shared" si="27"/>
        <v>0</v>
      </c>
    </row>
    <row r="391" spans="1:7" ht="15" customHeight="1" x14ac:dyDescent="0.25">
      <c r="A391" s="49" t="str">
        <f>IF(84&lt;=Inputs!$B$3,84,"")</f>
        <v/>
      </c>
      <c r="B391" s="49" t="str">
        <f t="shared" si="28"/>
        <v/>
      </c>
      <c r="C391" s="49" t="str">
        <f>IF($A391="","",Inputs!$B$4*12*(1+Inputs!$B$10/100)^($A391-1))</f>
        <v/>
      </c>
      <c r="D391" s="49" t="str">
        <f>IF($A391="","",B391*((Inputs!$B$5+2)/100))</f>
        <v/>
      </c>
      <c r="E391" s="49" t="str">
        <f>IF($A391="","",IFERROR(IF(OR(Inputs!$B$8&lt;=0,Inputs!$B$8=""),0,IF(AND($A391&gt;=Inputs!$B$8,MOD($A391,Inputs!$B$8)=0),Inputs!$B$7*(1+Inputs!$B$6/100)^$A391,0)),0))</f>
        <v/>
      </c>
      <c r="F391" s="49" t="str">
        <f t="shared" si="26"/>
        <v/>
      </c>
      <c r="G391" s="49">
        <f t="shared" si="27"/>
        <v>0</v>
      </c>
    </row>
    <row r="392" spans="1:7" ht="15" customHeight="1" x14ac:dyDescent="0.25">
      <c r="A392" s="49" t="str">
        <f>IF(85&lt;=Inputs!$B$3,85,"")</f>
        <v/>
      </c>
      <c r="B392" s="49" t="str">
        <f t="shared" si="28"/>
        <v/>
      </c>
      <c r="C392" s="49" t="str">
        <f>IF($A392="","",Inputs!$B$4*12*(1+Inputs!$B$10/100)^($A392-1))</f>
        <v/>
      </c>
      <c r="D392" s="49" t="str">
        <f>IF($A392="","",B392*((Inputs!$B$5+2)/100))</f>
        <v/>
      </c>
      <c r="E392" s="49" t="str">
        <f>IF($A392="","",IFERROR(IF(OR(Inputs!$B$8&lt;=0,Inputs!$B$8=""),0,IF(AND($A392&gt;=Inputs!$B$8,MOD($A392,Inputs!$B$8)=0),Inputs!$B$7*(1+Inputs!$B$6/100)^$A392,0)),0))</f>
        <v/>
      </c>
      <c r="F392" s="49" t="str">
        <f t="shared" si="26"/>
        <v/>
      </c>
      <c r="G392" s="49">
        <f t="shared" si="27"/>
        <v>0</v>
      </c>
    </row>
    <row r="393" spans="1:7" ht="15" customHeight="1" x14ac:dyDescent="0.25">
      <c r="A393" s="49" t="str">
        <f>IF(86&lt;=Inputs!$B$3,86,"")</f>
        <v/>
      </c>
      <c r="B393" s="49" t="str">
        <f t="shared" si="28"/>
        <v/>
      </c>
      <c r="C393" s="49" t="str">
        <f>IF($A393="","",Inputs!$B$4*12*(1+Inputs!$B$10/100)^($A393-1))</f>
        <v/>
      </c>
      <c r="D393" s="49" t="str">
        <f>IF($A393="","",B393*((Inputs!$B$5+2)/100))</f>
        <v/>
      </c>
      <c r="E393" s="49" t="str">
        <f>IF($A393="","",IFERROR(IF(OR(Inputs!$B$8&lt;=0,Inputs!$B$8=""),0,IF(AND($A393&gt;=Inputs!$B$8,MOD($A393,Inputs!$B$8)=0),Inputs!$B$7*(1+Inputs!$B$6/100)^$A393,0)),0))</f>
        <v/>
      </c>
      <c r="F393" s="49" t="str">
        <f t="shared" si="26"/>
        <v/>
      </c>
      <c r="G393" s="49">
        <f t="shared" si="27"/>
        <v>0</v>
      </c>
    </row>
    <row r="394" spans="1:7" ht="15" customHeight="1" x14ac:dyDescent="0.25">
      <c r="A394" s="49" t="str">
        <f>IF(87&lt;=Inputs!$B$3,87,"")</f>
        <v/>
      </c>
      <c r="B394" s="49" t="str">
        <f t="shared" si="28"/>
        <v/>
      </c>
      <c r="C394" s="49" t="str">
        <f>IF($A394="","",Inputs!$B$4*12*(1+Inputs!$B$10/100)^($A394-1))</f>
        <v/>
      </c>
      <c r="D394" s="49" t="str">
        <f>IF($A394="","",B394*((Inputs!$B$5+2)/100))</f>
        <v/>
      </c>
      <c r="E394" s="49" t="str">
        <f>IF($A394="","",IFERROR(IF(OR(Inputs!$B$8&lt;=0,Inputs!$B$8=""),0,IF(AND($A394&gt;=Inputs!$B$8,MOD($A394,Inputs!$B$8)=0),Inputs!$B$7*(1+Inputs!$B$6/100)^$A394,0)),0))</f>
        <v/>
      </c>
      <c r="F394" s="49" t="str">
        <f t="shared" si="26"/>
        <v/>
      </c>
      <c r="G394" s="49">
        <f t="shared" si="27"/>
        <v>0</v>
      </c>
    </row>
    <row r="395" spans="1:7" ht="15" customHeight="1" x14ac:dyDescent="0.25">
      <c r="A395" s="49" t="str">
        <f>IF(88&lt;=Inputs!$B$3,88,"")</f>
        <v/>
      </c>
      <c r="B395" s="49" t="str">
        <f t="shared" si="28"/>
        <v/>
      </c>
      <c r="C395" s="49" t="str">
        <f>IF($A395="","",Inputs!$B$4*12*(1+Inputs!$B$10/100)^($A395-1))</f>
        <v/>
      </c>
      <c r="D395" s="49" t="str">
        <f>IF($A395="","",B395*((Inputs!$B$5+2)/100))</f>
        <v/>
      </c>
      <c r="E395" s="49" t="str">
        <f>IF($A395="","",IFERROR(IF(OR(Inputs!$B$8&lt;=0,Inputs!$B$8=""),0,IF(AND($A395&gt;=Inputs!$B$8,MOD($A395,Inputs!$B$8)=0),Inputs!$B$7*(1+Inputs!$B$6/100)^$A395,0)),0))</f>
        <v/>
      </c>
      <c r="F395" s="49" t="str">
        <f t="shared" si="26"/>
        <v/>
      </c>
      <c r="G395" s="49">
        <f t="shared" si="27"/>
        <v>0</v>
      </c>
    </row>
    <row r="396" spans="1:7" ht="15" customHeight="1" x14ac:dyDescent="0.25">
      <c r="A396" s="49" t="str">
        <f>IF(89&lt;=Inputs!$B$3,89,"")</f>
        <v/>
      </c>
      <c r="B396" s="49" t="str">
        <f t="shared" si="28"/>
        <v/>
      </c>
      <c r="C396" s="49" t="str">
        <f>IF($A396="","",Inputs!$B$4*12*(1+Inputs!$B$10/100)^($A396-1))</f>
        <v/>
      </c>
      <c r="D396" s="49" t="str">
        <f>IF($A396="","",B396*((Inputs!$B$5+2)/100))</f>
        <v/>
      </c>
      <c r="E396" s="49" t="str">
        <f>IF($A396="","",IFERROR(IF(OR(Inputs!$B$8&lt;=0,Inputs!$B$8=""),0,IF(AND($A396&gt;=Inputs!$B$8,MOD($A396,Inputs!$B$8)=0),Inputs!$B$7*(1+Inputs!$B$6/100)^$A396,0)),0))</f>
        <v/>
      </c>
      <c r="F396" s="49" t="str">
        <f t="shared" si="26"/>
        <v/>
      </c>
      <c r="G396" s="49">
        <f t="shared" si="27"/>
        <v>0</v>
      </c>
    </row>
    <row r="397" spans="1:7" ht="15" customHeight="1" x14ac:dyDescent="0.25">
      <c r="A397" s="49" t="str">
        <f>IF(90&lt;=Inputs!$B$3,90,"")</f>
        <v/>
      </c>
      <c r="B397" s="49" t="str">
        <f t="shared" si="28"/>
        <v/>
      </c>
      <c r="C397" s="49" t="str">
        <f>IF($A397="","",Inputs!$B$4*12*(1+Inputs!$B$10/100)^($A397-1))</f>
        <v/>
      </c>
      <c r="D397" s="49" t="str">
        <f>IF($A397="","",B397*((Inputs!$B$5+2)/100))</f>
        <v/>
      </c>
      <c r="E397" s="49" t="str">
        <f>IF($A397="","",IFERROR(IF(OR(Inputs!$B$8&lt;=0,Inputs!$B$8=""),0,IF(AND($A397&gt;=Inputs!$B$8,MOD($A397,Inputs!$B$8)=0),Inputs!$B$7*(1+Inputs!$B$6/100)^$A397,0)),0))</f>
        <v/>
      </c>
      <c r="F397" s="49" t="str">
        <f t="shared" si="26"/>
        <v/>
      </c>
      <c r="G397" s="49">
        <f t="shared" si="27"/>
        <v>0</v>
      </c>
    </row>
    <row r="398" spans="1:7" ht="15" customHeight="1" x14ac:dyDescent="0.25">
      <c r="A398" s="49" t="str">
        <f>IF(91&lt;=Inputs!$B$3,91,"")</f>
        <v/>
      </c>
      <c r="B398" s="49" t="str">
        <f t="shared" si="28"/>
        <v/>
      </c>
      <c r="C398" s="49" t="str">
        <f>IF($A398="","",Inputs!$B$4*12*(1+Inputs!$B$10/100)^($A398-1))</f>
        <v/>
      </c>
      <c r="D398" s="49" t="str">
        <f>IF($A398="","",B398*((Inputs!$B$5+2)/100))</f>
        <v/>
      </c>
      <c r="E398" s="49" t="str">
        <f>IF($A398="","",IFERROR(IF(OR(Inputs!$B$8&lt;=0,Inputs!$B$8=""),0,IF(AND($A398&gt;=Inputs!$B$8,MOD($A398,Inputs!$B$8)=0),Inputs!$B$7*(1+Inputs!$B$6/100)^$A398,0)),0))</f>
        <v/>
      </c>
      <c r="F398" s="49" t="str">
        <f t="shared" si="26"/>
        <v/>
      </c>
      <c r="G398" s="49">
        <f t="shared" si="27"/>
        <v>0</v>
      </c>
    </row>
    <row r="399" spans="1:7" ht="15" customHeight="1" x14ac:dyDescent="0.25">
      <c r="A399" s="49" t="str">
        <f>IF(92&lt;=Inputs!$B$3,92,"")</f>
        <v/>
      </c>
      <c r="B399" s="49" t="str">
        <f t="shared" si="28"/>
        <v/>
      </c>
      <c r="C399" s="49" t="str">
        <f>IF($A399="","",Inputs!$B$4*12*(1+Inputs!$B$10/100)^($A399-1))</f>
        <v/>
      </c>
      <c r="D399" s="49" t="str">
        <f>IF($A399="","",B399*((Inputs!$B$5+2)/100))</f>
        <v/>
      </c>
      <c r="E399" s="49" t="str">
        <f>IF($A399="","",IFERROR(IF(OR(Inputs!$B$8&lt;=0,Inputs!$B$8=""),0,IF(AND($A399&gt;=Inputs!$B$8,MOD($A399,Inputs!$B$8)=0),Inputs!$B$7*(1+Inputs!$B$6/100)^$A399,0)),0))</f>
        <v/>
      </c>
      <c r="F399" s="49" t="str">
        <f t="shared" si="26"/>
        <v/>
      </c>
      <c r="G399" s="49">
        <f t="shared" si="27"/>
        <v>0</v>
      </c>
    </row>
    <row r="400" spans="1:7" ht="15" customHeight="1" x14ac:dyDescent="0.25">
      <c r="A400" s="49" t="str">
        <f>IF(93&lt;=Inputs!$B$3,93,"")</f>
        <v/>
      </c>
      <c r="B400" s="49" t="str">
        <f t="shared" si="28"/>
        <v/>
      </c>
      <c r="C400" s="49" t="str">
        <f>IF($A400="","",Inputs!$B$4*12*(1+Inputs!$B$10/100)^($A400-1))</f>
        <v/>
      </c>
      <c r="D400" s="49" t="str">
        <f>IF($A400="","",B400*((Inputs!$B$5+2)/100))</f>
        <v/>
      </c>
      <c r="E400" s="49" t="str">
        <f>IF($A400="","",IFERROR(IF(OR(Inputs!$B$8&lt;=0,Inputs!$B$8=""),0,IF(AND($A400&gt;=Inputs!$B$8,MOD($A400,Inputs!$B$8)=0),Inputs!$B$7*(1+Inputs!$B$6/100)^$A400,0)),0))</f>
        <v/>
      </c>
      <c r="F400" s="49" t="str">
        <f t="shared" si="26"/>
        <v/>
      </c>
      <c r="G400" s="49">
        <f t="shared" si="27"/>
        <v>0</v>
      </c>
    </row>
    <row r="401" spans="1:7" ht="15" customHeight="1" x14ac:dyDescent="0.25">
      <c r="A401" s="49" t="str">
        <f>IF(94&lt;=Inputs!$B$3,94,"")</f>
        <v/>
      </c>
      <c r="B401" s="49" t="str">
        <f t="shared" si="28"/>
        <v/>
      </c>
      <c r="C401" s="49" t="str">
        <f>IF($A401="","",Inputs!$B$4*12*(1+Inputs!$B$10/100)^($A401-1))</f>
        <v/>
      </c>
      <c r="D401" s="49" t="str">
        <f>IF($A401="","",B401*((Inputs!$B$5+2)/100))</f>
        <v/>
      </c>
      <c r="E401" s="49" t="str">
        <f>IF($A401="","",IFERROR(IF(OR(Inputs!$B$8&lt;=0,Inputs!$B$8=""),0,IF(AND($A401&gt;=Inputs!$B$8,MOD($A401,Inputs!$B$8)=0),Inputs!$B$7*(1+Inputs!$B$6/100)^$A401,0)),0))</f>
        <v/>
      </c>
      <c r="F401" s="49" t="str">
        <f t="shared" si="26"/>
        <v/>
      </c>
      <c r="G401" s="49">
        <f t="shared" si="27"/>
        <v>0</v>
      </c>
    </row>
    <row r="402" spans="1:7" ht="15" customHeight="1" x14ac:dyDescent="0.25">
      <c r="A402" s="49" t="str">
        <f>IF(95&lt;=Inputs!$B$3,95,"")</f>
        <v/>
      </c>
      <c r="B402" s="49" t="str">
        <f t="shared" si="28"/>
        <v/>
      </c>
      <c r="C402" s="49" t="str">
        <f>IF($A402="","",Inputs!$B$4*12*(1+Inputs!$B$10/100)^($A402-1))</f>
        <v/>
      </c>
      <c r="D402" s="49" t="str">
        <f>IF($A402="","",B402*((Inputs!$B$5+2)/100))</f>
        <v/>
      </c>
      <c r="E402" s="49" t="str">
        <f>IF($A402="","",IFERROR(IF(OR(Inputs!$B$8&lt;=0,Inputs!$B$8=""),0,IF(AND($A402&gt;=Inputs!$B$8,MOD($A402,Inputs!$B$8)=0),Inputs!$B$7*(1+Inputs!$B$6/100)^$A402,0)),0))</f>
        <v/>
      </c>
      <c r="F402" s="49" t="str">
        <f t="shared" si="26"/>
        <v/>
      </c>
      <c r="G402" s="49">
        <f t="shared" si="27"/>
        <v>0</v>
      </c>
    </row>
    <row r="403" spans="1:7" ht="15" customHeight="1" x14ac:dyDescent="0.25">
      <c r="A403" s="49" t="str">
        <f>IF(96&lt;=Inputs!$B$3,96,"")</f>
        <v/>
      </c>
      <c r="B403" s="49" t="str">
        <f t="shared" si="28"/>
        <v/>
      </c>
      <c r="C403" s="49" t="str">
        <f>IF($A403="","",Inputs!$B$4*12*(1+Inputs!$B$10/100)^($A403-1))</f>
        <v/>
      </c>
      <c r="D403" s="49" t="str">
        <f>IF($A403="","",B403*((Inputs!$B$5+2)/100))</f>
        <v/>
      </c>
      <c r="E403" s="49" t="str">
        <f>IF($A403="","",IFERROR(IF(OR(Inputs!$B$8&lt;=0,Inputs!$B$8=""),0,IF(AND($A403&gt;=Inputs!$B$8,MOD($A403,Inputs!$B$8)=0),Inputs!$B$7*(1+Inputs!$B$6/100)^$A403,0)),0))</f>
        <v/>
      </c>
      <c r="F403" s="49" t="str">
        <f t="shared" si="26"/>
        <v/>
      </c>
      <c r="G403" s="49">
        <f t="shared" si="27"/>
        <v>0</v>
      </c>
    </row>
    <row r="404" spans="1:7" ht="15" customHeight="1" x14ac:dyDescent="0.25">
      <c r="A404" s="49" t="str">
        <f>IF(97&lt;=Inputs!$B$3,97,"")</f>
        <v/>
      </c>
      <c r="B404" s="49" t="str">
        <f t="shared" si="28"/>
        <v/>
      </c>
      <c r="C404" s="49" t="str">
        <f>IF($A404="","",Inputs!$B$4*12*(1+Inputs!$B$10/100)^($A404-1))</f>
        <v/>
      </c>
      <c r="D404" s="49" t="str">
        <f>IF($A404="","",B404*((Inputs!$B$5+2)/100))</f>
        <v/>
      </c>
      <c r="E404" s="49" t="str">
        <f>IF($A404="","",IFERROR(IF(OR(Inputs!$B$8&lt;=0,Inputs!$B$8=""),0,IF(AND($A404&gt;=Inputs!$B$8,MOD($A404,Inputs!$B$8)=0),Inputs!$B$7*(1+Inputs!$B$6/100)^$A404,0)),0))</f>
        <v/>
      </c>
      <c r="F404" s="49" t="str">
        <f t="shared" ref="F404:F407" si="29">IF($A404="","",B404+C404+D404-E404)</f>
        <v/>
      </c>
      <c r="G404" s="49">
        <f t="shared" si="27"/>
        <v>0</v>
      </c>
    </row>
    <row r="405" spans="1:7" ht="15" customHeight="1" x14ac:dyDescent="0.25">
      <c r="A405" s="49" t="str">
        <f>IF(98&lt;=Inputs!$B$3,98,"")</f>
        <v/>
      </c>
      <c r="B405" s="49" t="str">
        <f t="shared" si="28"/>
        <v/>
      </c>
      <c r="C405" s="49" t="str">
        <f>IF($A405="","",Inputs!$B$4*12*(1+Inputs!$B$10/100)^($A405-1))</f>
        <v/>
      </c>
      <c r="D405" s="49" t="str">
        <f>IF($A405="","",B405*((Inputs!$B$5+2)/100))</f>
        <v/>
      </c>
      <c r="E405" s="49" t="str">
        <f>IF($A405="","",IFERROR(IF(OR(Inputs!$B$8&lt;=0,Inputs!$B$8=""),0,IF(AND($A405&gt;=Inputs!$B$8,MOD($A405,Inputs!$B$8)=0),Inputs!$B$7*(1+Inputs!$B$6/100)^$A405,0)),0))</f>
        <v/>
      </c>
      <c r="F405" s="49" t="str">
        <f t="shared" si="29"/>
        <v/>
      </c>
      <c r="G405" s="49">
        <f t="shared" si="27"/>
        <v>0</v>
      </c>
    </row>
    <row r="406" spans="1:7" ht="15" customHeight="1" x14ac:dyDescent="0.25">
      <c r="A406" s="49" t="str">
        <f>IF(99&lt;=Inputs!$B$3,99,"")</f>
        <v/>
      </c>
      <c r="B406" s="49" t="str">
        <f t="shared" si="28"/>
        <v/>
      </c>
      <c r="C406" s="49" t="str">
        <f>IF($A406="","",Inputs!$B$4*12*(1+Inputs!$B$10/100)^($A406-1))</f>
        <v/>
      </c>
      <c r="D406" s="49" t="str">
        <f>IF($A406="","",B406*((Inputs!$B$5+2)/100))</f>
        <v/>
      </c>
      <c r="E406" s="49" t="str">
        <f>IF($A406="","",IFERROR(IF(OR(Inputs!$B$8&lt;=0,Inputs!$B$8=""),0,IF(AND($A406&gt;=Inputs!$B$8,MOD($A406,Inputs!$B$8)=0),Inputs!$B$7*(1+Inputs!$B$6/100)^$A406,0)),0))</f>
        <v/>
      </c>
      <c r="F406" s="49" t="str">
        <f t="shared" si="29"/>
        <v/>
      </c>
      <c r="G406" s="49">
        <f t="shared" si="27"/>
        <v>0</v>
      </c>
    </row>
    <row r="407" spans="1:7" ht="15" customHeight="1" x14ac:dyDescent="0.25">
      <c r="A407" s="49" t="str">
        <f>IF(100&lt;=Inputs!$B$3,100,"")</f>
        <v/>
      </c>
      <c r="B407" s="49" t="str">
        <f t="shared" si="28"/>
        <v/>
      </c>
      <c r="C407" s="49" t="str">
        <f>IF($A407="","",Inputs!$B$4*12*(1+Inputs!$B$10/100)^($A407-1))</f>
        <v/>
      </c>
      <c r="D407" s="49" t="str">
        <f>IF($A407="","",B407*((Inputs!$B$5+2)/100))</f>
        <v/>
      </c>
      <c r="E407" s="49" t="str">
        <f>IF($A407="","",IFERROR(IF(OR(Inputs!$B$8&lt;=0,Inputs!$B$8=""),0,IF(AND($A407&gt;=Inputs!$B$8,MOD($A407,Inputs!$B$8)=0),Inputs!$B$7*(1+Inputs!$B$6/100)^$A407,0)),0))</f>
        <v/>
      </c>
      <c r="F407" s="49" t="str">
        <f t="shared" si="29"/>
        <v/>
      </c>
      <c r="G407" s="49">
        <f t="shared" si="27"/>
        <v>0</v>
      </c>
    </row>
  </sheetData>
  <sheetProtection password="DE42" sheet="1" formatCells="0" formatColumns="0" formatRows="0" insertColumns="0" insertRows="0" deleteColumns="0" deleteRows="0" selectLockedCells="1" sort="0" autoFilter="0" pivotTables="0" selectUnlockedCells="1"/>
  <mergeCells count="4">
    <mergeCell ref="A1:D1"/>
    <mergeCell ref="A3:D3"/>
    <mergeCell ref="A15:D15"/>
    <mergeCell ref="A25:D25"/>
  </mergeCells>
  <pageMargins left="0.75" right="0.75" top="1" bottom="1"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1484</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Inputs</vt:lpstr>
      <vt:lpstr>Projection</vt:lpstr>
      <vt:lpstr>Notes</vt:lpstr>
      <vt:lpstr>Scenarios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dc:description/>
  <cp:lastModifiedBy>Todd Brannan</cp:lastModifiedBy>
  <cp:revision>15</cp:revision>
  <dcterms:created xsi:type="dcterms:W3CDTF">2026-06-16T17:59:53Z</dcterms:created>
  <dcterms:modified xsi:type="dcterms:W3CDTF">2026-07-06T16:22:05Z</dcterms:modified>
  <dc:language>en-US</dc:language>
</cp:coreProperties>
</file>